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cartalemi\Desktop\Tetti 2025\Invio ghidelli\Per INVIO\Radiologia\"/>
    </mc:Choice>
  </mc:AlternateContent>
  <bookViews>
    <workbookView xWindow="0" yWindow="0" windowWidth="23310" windowHeight="9930"/>
  </bookViews>
  <sheets>
    <sheet name="RAD_NA1_2022" sheetId="2" r:id="rId1"/>
    <sheet name="RAD_NA1_2023" sheetId="1" r:id="rId2"/>
    <sheet name="RAD_NA1_RIEP_x_2024" sheetId="3" r:id="rId3"/>
  </sheets>
  <externalReferences>
    <externalReference r:id="rId4"/>
    <externalReference r:id="rId5"/>
  </externalReferences>
  <definedNames>
    <definedName name="_09_1_Elenco_Strutture" localSheetId="0">#REF!</definedName>
    <definedName name="_09_1_Elenco_Strutture" localSheetId="1">#REF!</definedName>
    <definedName name="_09_1_Elenco_Strutture" localSheetId="2">#REF!</definedName>
    <definedName name="_09_1_Elenco_Strutture">#REF!</definedName>
    <definedName name="_xlnm._FilterDatabase" localSheetId="0" hidden="1">RAD_NA1_2022!$A$2:$V$53</definedName>
    <definedName name="_xlnm._FilterDatabase" localSheetId="2" hidden="1">RAD_NA1_RIEP_x_2024!$AI$3:$AI$54</definedName>
    <definedName name="_xlnm.Print_Area" localSheetId="0">RAD_NA1_2022!$A$1:$U$56</definedName>
    <definedName name="_xlnm.Print_Area" localSheetId="1">RAD_NA1_2023!$A$1:$U$56</definedName>
    <definedName name="_xlnm.Print_Area" localSheetId="2">RAD_NA1_RIEP_x_2024!$A$2:$AE$55</definedName>
    <definedName name="Excel_BuiltIn_Print_Titles_1_1">('[1]ESITO 2010'!$B$1:$B$65451,'[1]ESITO 2010'!$A$2:$IT$2)</definedName>
    <definedName name="Excel_BuiltIn_Print_Titles_1_1_1">('[1]ESITO 2010'!$B$2:$B$65379,'[1]ESITO 2010'!$A$2:$IT$2)</definedName>
    <definedName name="Excel_BuiltIn_Print_Titles_1_1_1_1">('[1]ESITO 2010'!$B$2:$B$65379,'[1]ESITO 2010'!$A$2:$IT$2)</definedName>
    <definedName name="Excel_BuiltIn_Print_Titles_2_1_1_1">('[1]ESITO 2010'!$B$2:$B$65359,'[1]ESITO 2010'!$A$2:$IT$2)</definedName>
    <definedName name="Excel_BuiltIn_Print_Titles_2_1_1_1_1">('[1]ESITO 2010'!$B$2:$B$65359,'[1]ESITO 2010'!$A$2:$IT$2)</definedName>
    <definedName name="_xlnm.Print_Titles" localSheetId="2">RAD_NA1_RIEP_x_2024!$A:$B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7" i="3" l="1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L50" i="3" l="1"/>
  <c r="L51" i="3"/>
  <c r="U43" i="3" l="1"/>
  <c r="U44" i="3"/>
  <c r="U45" i="3"/>
  <c r="U46" i="3"/>
  <c r="U47" i="3"/>
  <c r="U48" i="3"/>
  <c r="U49" i="3"/>
  <c r="U50" i="3"/>
  <c r="U51" i="3"/>
  <c r="U52" i="3"/>
  <c r="U53" i="3"/>
  <c r="U42" i="3"/>
  <c r="T60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21" i="3"/>
  <c r="T20" i="3"/>
  <c r="K23" i="3" l="1"/>
  <c r="K24" i="3"/>
  <c r="K22" i="3"/>
  <c r="V51" i="3" l="1"/>
  <c r="V24" i="3"/>
  <c r="V32" i="3"/>
  <c r="S12" i="3"/>
  <c r="V12" i="3" s="1"/>
  <c r="V53" i="3"/>
  <c r="V52" i="3"/>
  <c r="V50" i="3"/>
  <c r="V49" i="3"/>
  <c r="V48" i="3"/>
  <c r="V47" i="3"/>
  <c r="V46" i="3"/>
  <c r="V45" i="3"/>
  <c r="V44" i="3"/>
  <c r="V43" i="3"/>
  <c r="V35" i="3"/>
  <c r="V34" i="3"/>
  <c r="V33" i="3"/>
  <c r="V31" i="3"/>
  <c r="V30" i="3"/>
  <c r="V29" i="3"/>
  <c r="V28" i="3"/>
  <c r="V27" i="3"/>
  <c r="V26" i="3"/>
  <c r="V25" i="3"/>
  <c r="V23" i="3"/>
  <c r="V22" i="3"/>
  <c r="V21" i="3"/>
  <c r="V20" i="3"/>
  <c r="S60" i="3"/>
  <c r="S61" i="3" s="1"/>
  <c r="S19" i="3" s="1"/>
  <c r="T19" i="3" s="1"/>
  <c r="S14" i="3"/>
  <c r="V14" i="3" s="1"/>
  <c r="S13" i="3"/>
  <c r="V13" i="3" s="1"/>
  <c r="S11" i="3"/>
  <c r="V11" i="3" s="1"/>
  <c r="S10" i="3"/>
  <c r="V10" i="3" s="1"/>
  <c r="S9" i="3"/>
  <c r="V9" i="3" s="1"/>
  <c r="S8" i="3"/>
  <c r="V8" i="3" s="1"/>
  <c r="S6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4" i="3"/>
  <c r="Q93" i="3"/>
  <c r="Q95" i="3"/>
  <c r="Q96" i="3"/>
  <c r="Q97" i="3"/>
  <c r="Q98" i="3"/>
  <c r="Q99" i="3"/>
  <c r="Q100" i="3"/>
  <c r="Q101" i="3"/>
  <c r="Q102" i="3"/>
  <c r="Q103" i="3"/>
  <c r="Q104" i="3"/>
  <c r="Q105" i="3"/>
  <c r="Q106" i="3"/>
  <c r="Q59" i="3"/>
  <c r="K60" i="3"/>
  <c r="K61" i="3" s="1"/>
  <c r="J60" i="3"/>
  <c r="J61" i="3" s="1"/>
  <c r="K26" i="3" l="1"/>
  <c r="K27" i="3"/>
  <c r="K28" i="3"/>
  <c r="K29" i="3"/>
  <c r="K25" i="3"/>
  <c r="Q107" i="3"/>
  <c r="S17" i="3"/>
  <c r="T17" i="3" s="1"/>
  <c r="S18" i="3"/>
  <c r="T18" i="3" s="1"/>
  <c r="S16" i="3"/>
  <c r="T16" i="3" s="1"/>
  <c r="S15" i="3"/>
  <c r="T15" i="3" s="1"/>
  <c r="T61" i="3"/>
  <c r="J15" i="3"/>
  <c r="J16" i="3"/>
  <c r="J19" i="3"/>
  <c r="J17" i="3"/>
  <c r="J14" i="3"/>
  <c r="J18" i="3"/>
  <c r="J20" i="3"/>
  <c r="J21" i="3"/>
  <c r="T37" i="3" l="1"/>
  <c r="U37" i="3" s="1"/>
  <c r="T38" i="3"/>
  <c r="U38" i="3" s="1"/>
  <c r="T39" i="3"/>
  <c r="U39" i="3" s="1"/>
  <c r="T40" i="3"/>
  <c r="U40" i="3" s="1"/>
  <c r="T41" i="3"/>
  <c r="U41" i="3" s="1"/>
  <c r="T36" i="3"/>
  <c r="U36" i="3" s="1"/>
  <c r="D54" i="3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O46" i="1"/>
  <c r="O44" i="1"/>
  <c r="O45" i="1"/>
  <c r="O42" i="1"/>
  <c r="O43" i="1"/>
  <c r="O41" i="1"/>
  <c r="O54" i="1"/>
  <c r="P49" i="1"/>
  <c r="P50" i="1"/>
  <c r="P51" i="1"/>
  <c r="P52" i="1"/>
  <c r="P53" i="1"/>
  <c r="P48" i="1"/>
  <c r="P47" i="1"/>
  <c r="P54" i="1" s="1"/>
  <c r="O32" i="1"/>
  <c r="O33" i="1"/>
  <c r="O34" i="1"/>
  <c r="O35" i="1"/>
  <c r="O36" i="1"/>
  <c r="O37" i="1"/>
  <c r="O38" i="1"/>
  <c r="O39" i="1"/>
  <c r="O40" i="1"/>
  <c r="O31" i="1"/>
  <c r="O26" i="1"/>
  <c r="O27" i="1"/>
  <c r="O28" i="1"/>
  <c r="O29" i="1"/>
  <c r="O30" i="1"/>
  <c r="O25" i="1"/>
  <c r="O24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6" i="1"/>
  <c r="T54" i="3" l="1"/>
  <c r="P50" i="2"/>
  <c r="P51" i="2"/>
  <c r="P52" i="2"/>
  <c r="P53" i="2"/>
  <c r="P49" i="2"/>
  <c r="P48" i="2"/>
  <c r="O47" i="2"/>
  <c r="O36" i="2"/>
  <c r="O37" i="2"/>
  <c r="O38" i="2"/>
  <c r="O39" i="2"/>
  <c r="O40" i="2"/>
  <c r="O41" i="2"/>
  <c r="O42" i="2"/>
  <c r="O43" i="2"/>
  <c r="O44" i="2"/>
  <c r="O45" i="2"/>
  <c r="O46" i="2"/>
  <c r="O35" i="2"/>
  <c r="O34" i="2"/>
  <c r="N31" i="2"/>
  <c r="N32" i="2"/>
  <c r="N33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6" i="2"/>
  <c r="E54" i="2" l="1"/>
  <c r="M62" i="1" l="1"/>
  <c r="M93" i="1"/>
  <c r="M60" i="1"/>
  <c r="M98" i="1"/>
  <c r="M65" i="1"/>
  <c r="M99" i="1"/>
  <c r="M90" i="1"/>
  <c r="M89" i="1"/>
  <c r="M63" i="1"/>
  <c r="M76" i="1"/>
  <c r="M75" i="1"/>
  <c r="M92" i="1"/>
  <c r="M80" i="1"/>
  <c r="M91" i="1"/>
  <c r="M88" i="1"/>
  <c r="M71" i="1"/>
  <c r="M79" i="1"/>
  <c r="M96" i="1"/>
  <c r="M73" i="1"/>
  <c r="M59" i="1"/>
  <c r="M70" i="1"/>
  <c r="M78" i="1"/>
  <c r="M101" i="1"/>
  <c r="M95" i="1"/>
  <c r="M81" i="1"/>
  <c r="M69" i="1"/>
  <c r="M66" i="1"/>
  <c r="M82" i="1"/>
  <c r="M83" i="1"/>
  <c r="M68" i="1"/>
  <c r="M94" i="1"/>
  <c r="M104" i="1"/>
  <c r="M67" i="1"/>
  <c r="M72" i="1"/>
  <c r="M87" i="1"/>
  <c r="M77" i="1"/>
  <c r="M86" i="1"/>
  <c r="M85" i="1"/>
  <c r="M84" i="1"/>
  <c r="M102" i="1"/>
  <c r="M103" i="1"/>
  <c r="M100" i="1"/>
  <c r="M97" i="1"/>
  <c r="M74" i="1"/>
  <c r="M105" i="1"/>
  <c r="M64" i="1"/>
  <c r="M106" i="1"/>
  <c r="M61" i="1"/>
  <c r="E54" i="1" l="1"/>
  <c r="Z49" i="3" l="1"/>
  <c r="Z6" i="3"/>
  <c r="Z36" i="3"/>
  <c r="Z48" i="3"/>
  <c r="Z25" i="3"/>
  <c r="Z26" i="3"/>
  <c r="Z35" i="3"/>
  <c r="Z51" i="3"/>
  <c r="Z13" i="3"/>
  <c r="Z7" i="3"/>
  <c r="Z9" i="3"/>
  <c r="Z10" i="3"/>
  <c r="Z16" i="3"/>
  <c r="Z23" i="3"/>
  <c r="Z24" i="3"/>
  <c r="Z37" i="3"/>
  <c r="Z52" i="3"/>
  <c r="Z8" i="3"/>
  <c r="Z11" i="3"/>
  <c r="Z14" i="3"/>
  <c r="Z27" i="3"/>
  <c r="Z33" i="3"/>
  <c r="Z40" i="3"/>
  <c r="Z42" i="3"/>
  <c r="Z53" i="3"/>
  <c r="Z34" i="3"/>
  <c r="Z50" i="3"/>
  <c r="Z31" i="3"/>
  <c r="Q54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2" i="3"/>
  <c r="L53" i="3"/>
  <c r="L30" i="3"/>
  <c r="L26" i="3"/>
  <c r="L27" i="3"/>
  <c r="L28" i="3"/>
  <c r="L29" i="3"/>
  <c r="L25" i="3"/>
  <c r="K15" i="3"/>
  <c r="K16" i="3"/>
  <c r="K17" i="3"/>
  <c r="K18" i="3"/>
  <c r="K19" i="3"/>
  <c r="K20" i="3"/>
  <c r="K21" i="3"/>
  <c r="K14" i="3"/>
  <c r="J11" i="3"/>
  <c r="J12" i="3"/>
  <c r="J13" i="3"/>
  <c r="H54" i="3"/>
  <c r="M22" i="3" l="1"/>
  <c r="Y51" i="3" s="1"/>
  <c r="M11" i="3"/>
  <c r="Y18" i="3" s="1"/>
  <c r="M15" i="3"/>
  <c r="Y16" i="3" s="1"/>
  <c r="M26" i="3"/>
  <c r="Y42" i="3" s="1"/>
  <c r="M47" i="3"/>
  <c r="Y38" i="3" s="1"/>
  <c r="M39" i="3"/>
  <c r="Y14" i="3" s="1"/>
  <c r="M31" i="3"/>
  <c r="Y39" i="3" s="1"/>
  <c r="M14" i="3"/>
  <c r="Y15" i="3" s="1"/>
  <c r="M38" i="3"/>
  <c r="Y24" i="3" s="1"/>
  <c r="M45" i="3"/>
  <c r="Y26" i="3" s="1"/>
  <c r="M24" i="3"/>
  <c r="Y52" i="3" s="1"/>
  <c r="M52" i="3"/>
  <c r="Y36" i="3" s="1"/>
  <c r="M44" i="3"/>
  <c r="Y25" i="3" s="1"/>
  <c r="M36" i="3"/>
  <c r="Y21" i="3" s="1"/>
  <c r="M30" i="3"/>
  <c r="Y33" i="3" s="1"/>
  <c r="M23" i="3"/>
  <c r="Y53" i="3" s="1"/>
  <c r="M20" i="3"/>
  <c r="Y41" i="3" s="1"/>
  <c r="M51" i="3"/>
  <c r="M35" i="3"/>
  <c r="Y40" i="3" s="1"/>
  <c r="M50" i="3"/>
  <c r="Y9" i="3" s="1"/>
  <c r="M42" i="3"/>
  <c r="Y48" i="3" s="1"/>
  <c r="M34" i="3"/>
  <c r="Y37" i="3" s="1"/>
  <c r="M46" i="3"/>
  <c r="Y35" i="3" s="1"/>
  <c r="M53" i="3"/>
  <c r="Y13" i="3" s="1"/>
  <c r="M25" i="3"/>
  <c r="Y34" i="3" s="1"/>
  <c r="M29" i="3"/>
  <c r="Y50" i="3" s="1"/>
  <c r="M13" i="3"/>
  <c r="Y44" i="3" s="1"/>
  <c r="M17" i="3"/>
  <c r="Y23" i="3" s="1"/>
  <c r="M28" i="3"/>
  <c r="Y47" i="3" s="1"/>
  <c r="M49" i="3"/>
  <c r="Y7" i="3" s="1"/>
  <c r="M41" i="3"/>
  <c r="Y49" i="3" s="1"/>
  <c r="M33" i="3"/>
  <c r="Y22" i="3" s="1"/>
  <c r="M21" i="3"/>
  <c r="Y46" i="3" s="1"/>
  <c r="M37" i="3"/>
  <c r="Y29" i="3" s="1"/>
  <c r="M19" i="3"/>
  <c r="Y32" i="3" s="1"/>
  <c r="M43" i="3"/>
  <c r="Y45" i="3" s="1"/>
  <c r="M18" i="3"/>
  <c r="Y30" i="3" s="1"/>
  <c r="M12" i="3"/>
  <c r="Y28" i="3" s="1"/>
  <c r="M16" i="3"/>
  <c r="Y17" i="3" s="1"/>
  <c r="M27" i="3"/>
  <c r="Y43" i="3" s="1"/>
  <c r="M48" i="3"/>
  <c r="Y6" i="3" s="1"/>
  <c r="M40" i="3"/>
  <c r="Y27" i="3" s="1"/>
  <c r="M32" i="3"/>
  <c r="Y12" i="3" s="1"/>
  <c r="Z32" i="3"/>
  <c r="L54" i="3"/>
  <c r="Y11" i="3" l="1"/>
  <c r="S6" i="1" l="1"/>
  <c r="Q45" i="1"/>
  <c r="Q48" i="1"/>
  <c r="Q50" i="1"/>
  <c r="Q51" i="1"/>
  <c r="Q52" i="1"/>
  <c r="Q53" i="1"/>
  <c r="Q38" i="1"/>
  <c r="Q39" i="1"/>
  <c r="Q40" i="1"/>
  <c r="Q42" i="1"/>
  <c r="Q43" i="1"/>
  <c r="Q44" i="1"/>
  <c r="Q46" i="1"/>
  <c r="Q47" i="1"/>
  <c r="L54" i="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6" i="2"/>
  <c r="Q36" i="2"/>
  <c r="T44" i="2" s="1"/>
  <c r="AB44" i="3" s="1"/>
  <c r="Q38" i="2"/>
  <c r="Q39" i="2"/>
  <c r="Q48" i="2"/>
  <c r="Q49" i="2"/>
  <c r="Q50" i="2"/>
  <c r="Q51" i="2"/>
  <c r="T51" i="2" s="1"/>
  <c r="AB51" i="3" s="1"/>
  <c r="Q52" i="2"/>
  <c r="Q53" i="2"/>
  <c r="Q47" i="2"/>
  <c r="Q45" i="2"/>
  <c r="Q46" i="2"/>
  <c r="Q44" i="2"/>
  <c r="Q41" i="2"/>
  <c r="T13" i="2" s="1"/>
  <c r="AB13" i="3" s="1"/>
  <c r="Q42" i="2"/>
  <c r="Q43" i="2"/>
  <c r="T14" i="2" s="1"/>
  <c r="AB14" i="3" s="1"/>
  <c r="Q37" i="2"/>
  <c r="T18" i="2" s="1"/>
  <c r="AB18" i="3" s="1"/>
  <c r="Q40" i="2"/>
  <c r="Q35" i="2"/>
  <c r="T47" i="2" l="1"/>
  <c r="AB47" i="3" s="1"/>
  <c r="T53" i="2"/>
  <c r="AB53" i="3" s="1"/>
  <c r="T22" i="2"/>
  <c r="AB22" i="3" s="1"/>
  <c r="T37" i="2"/>
  <c r="AB37" i="3" s="1"/>
  <c r="T20" i="2"/>
  <c r="AB20" i="3" s="1"/>
  <c r="T29" i="2"/>
  <c r="AB29" i="3" s="1"/>
  <c r="T46" i="2"/>
  <c r="AB46" i="3" s="1"/>
  <c r="T8" i="2"/>
  <c r="AB8" i="3" s="1"/>
  <c r="T34" i="2"/>
  <c r="AB34" i="3" s="1"/>
  <c r="T52" i="2"/>
  <c r="AB52" i="3" s="1"/>
  <c r="T48" i="2"/>
  <c r="AB48" i="3" s="1"/>
  <c r="T10" i="2"/>
  <c r="AB10" i="3" s="1"/>
  <c r="T12" i="2"/>
  <c r="AB12" i="3" s="1"/>
  <c r="T38" i="2"/>
  <c r="AB38" i="3" s="1"/>
  <c r="S54" i="2"/>
  <c r="T47" i="1"/>
  <c r="AC47" i="3" s="1"/>
  <c r="T38" i="1"/>
  <c r="AC38" i="3" s="1"/>
  <c r="S54" i="1"/>
  <c r="Q49" i="1"/>
  <c r="T46" i="1" s="1"/>
  <c r="AC46" i="3" s="1"/>
  <c r="Q41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X54" i="1"/>
  <c r="Y54" i="1"/>
  <c r="Z54" i="1"/>
  <c r="H54" i="1"/>
  <c r="F51" i="1"/>
  <c r="F53" i="1"/>
  <c r="U18" i="2"/>
  <c r="H64" i="3" s="1"/>
  <c r="Q34" i="2"/>
  <c r="T31" i="2" s="1"/>
  <c r="AB31" i="3" s="1"/>
  <c r="Q33" i="2"/>
  <c r="T41" i="2" s="1"/>
  <c r="AB41" i="3" s="1"/>
  <c r="Q32" i="2"/>
  <c r="T43" i="2" s="1"/>
  <c r="AB43" i="3" s="1"/>
  <c r="Q7" i="2"/>
  <c r="T23" i="2" s="1"/>
  <c r="AB23" i="3" s="1"/>
  <c r="Q8" i="2"/>
  <c r="T15" i="2" s="1"/>
  <c r="AB15" i="3" s="1"/>
  <c r="Q9" i="2"/>
  <c r="T7" i="2" s="1"/>
  <c r="AB7" i="3" s="1"/>
  <c r="Q10" i="2"/>
  <c r="T9" i="2" s="1"/>
  <c r="AB9" i="3" s="1"/>
  <c r="Q11" i="2"/>
  <c r="T33" i="2" s="1"/>
  <c r="AB33" i="3" s="1"/>
  <c r="Q12" i="2"/>
  <c r="T6" i="2" s="1"/>
  <c r="Q13" i="2"/>
  <c r="T32" i="2" s="1"/>
  <c r="AB32" i="3" s="1"/>
  <c r="Q14" i="2"/>
  <c r="T39" i="2" s="1"/>
  <c r="AB39" i="3" s="1"/>
  <c r="Q15" i="2"/>
  <c r="T40" i="2" s="1"/>
  <c r="AB40" i="3" s="1"/>
  <c r="Q16" i="2"/>
  <c r="T36" i="2" s="1"/>
  <c r="AB36" i="3" s="1"/>
  <c r="Q17" i="2"/>
  <c r="T50" i="2" s="1"/>
  <c r="AB50" i="3" s="1"/>
  <c r="Q18" i="2"/>
  <c r="T11" i="2" s="1"/>
  <c r="AB11" i="3" s="1"/>
  <c r="Q19" i="2"/>
  <c r="T21" i="2" s="1"/>
  <c r="AB21" i="3" s="1"/>
  <c r="Q20" i="2"/>
  <c r="T27" i="2" s="1"/>
  <c r="AB27" i="3" s="1"/>
  <c r="Q21" i="2"/>
  <c r="T17" i="2" s="1"/>
  <c r="AB17" i="3" s="1"/>
  <c r="Q22" i="2"/>
  <c r="T49" i="2" s="1"/>
  <c r="AB49" i="3" s="1"/>
  <c r="Q23" i="2"/>
  <c r="T28" i="2" s="1"/>
  <c r="AB28" i="3" s="1"/>
  <c r="Q24" i="2"/>
  <c r="T42" i="2" s="1"/>
  <c r="AB42" i="3" s="1"/>
  <c r="Q25" i="2"/>
  <c r="T30" i="2" s="1"/>
  <c r="AB30" i="3" s="1"/>
  <c r="Q26" i="2"/>
  <c r="T25" i="2" s="1"/>
  <c r="AB25" i="3" s="1"/>
  <c r="Q27" i="2"/>
  <c r="T16" i="2" s="1"/>
  <c r="AB16" i="3" s="1"/>
  <c r="Q28" i="2"/>
  <c r="T35" i="2" s="1"/>
  <c r="AB35" i="3" s="1"/>
  <c r="Q29" i="2"/>
  <c r="T19" i="2" s="1"/>
  <c r="AB19" i="3" s="1"/>
  <c r="Q30" i="2"/>
  <c r="T24" i="2" s="1"/>
  <c r="AB24" i="3" s="1"/>
  <c r="Q31" i="2"/>
  <c r="T45" i="2" s="1"/>
  <c r="AB45" i="3" s="1"/>
  <c r="N54" i="2"/>
  <c r="L54" i="2"/>
  <c r="M107" i="2"/>
  <c r="I54" i="2"/>
  <c r="H54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U37" i="2" l="1"/>
  <c r="H84" i="3" s="1"/>
  <c r="T49" i="1"/>
  <c r="AC49" i="3" s="1"/>
  <c r="AE49" i="3" s="1"/>
  <c r="U34" i="2"/>
  <c r="H75" i="3" s="1"/>
  <c r="U38" i="1"/>
  <c r="U47" i="1"/>
  <c r="T48" i="1"/>
  <c r="U46" i="1"/>
  <c r="U8" i="2"/>
  <c r="H62" i="3" s="1"/>
  <c r="U42" i="2"/>
  <c r="H76" i="3" s="1"/>
  <c r="U43" i="2"/>
  <c r="H77" i="3" s="1"/>
  <c r="U22" i="2"/>
  <c r="H83" i="3" s="1"/>
  <c r="U19" i="2"/>
  <c r="H60" i="3" s="1"/>
  <c r="U48" i="2"/>
  <c r="H92" i="3" s="1"/>
  <c r="U30" i="2"/>
  <c r="H71" i="3" s="1"/>
  <c r="U13" i="2"/>
  <c r="H104" i="3" s="1"/>
  <c r="U9" i="2"/>
  <c r="H102" i="3" s="1"/>
  <c r="U28" i="2"/>
  <c r="H65" i="3" s="1"/>
  <c r="U17" i="2"/>
  <c r="H69" i="3" s="1"/>
  <c r="U20" i="2"/>
  <c r="H59" i="3" s="1"/>
  <c r="U47" i="2"/>
  <c r="H78" i="3" s="1"/>
  <c r="U27" i="2"/>
  <c r="H90" i="3" s="1"/>
  <c r="U49" i="2"/>
  <c r="H91" i="3" s="1"/>
  <c r="U36" i="2"/>
  <c r="H103" i="3" s="1"/>
  <c r="U45" i="2"/>
  <c r="H94" i="3" s="1"/>
  <c r="U25" i="2"/>
  <c r="H95" i="3" s="1"/>
  <c r="U11" i="2"/>
  <c r="H101" i="3" s="1"/>
  <c r="U21" i="2"/>
  <c r="H86" i="3" s="1"/>
  <c r="U12" i="2"/>
  <c r="H82" i="3" s="1"/>
  <c r="U29" i="2"/>
  <c r="H87" i="3" s="1"/>
  <c r="U44" i="2"/>
  <c r="H66" i="3" s="1"/>
  <c r="U53" i="2"/>
  <c r="H106" i="3" s="1"/>
  <c r="U35" i="2"/>
  <c r="H97" i="3" s="1"/>
  <c r="O54" i="2"/>
  <c r="U7" i="2"/>
  <c r="H100" i="3" s="1"/>
  <c r="U51" i="2"/>
  <c r="H93" i="3" s="1"/>
  <c r="U41" i="2"/>
  <c r="H73" i="3" s="1"/>
  <c r="U33" i="2"/>
  <c r="H80" i="3" s="1"/>
  <c r="U24" i="2"/>
  <c r="H88" i="3" s="1"/>
  <c r="U16" i="2"/>
  <c r="H68" i="3" s="1"/>
  <c r="U52" i="2"/>
  <c r="H105" i="3" s="1"/>
  <c r="U50" i="2"/>
  <c r="H79" i="3" s="1"/>
  <c r="U40" i="2"/>
  <c r="H85" i="3" s="1"/>
  <c r="U32" i="2"/>
  <c r="H72" i="3" s="1"/>
  <c r="U23" i="2"/>
  <c r="H70" i="3" s="1"/>
  <c r="U15" i="2"/>
  <c r="H67" i="3" s="1"/>
  <c r="U39" i="2"/>
  <c r="H81" i="3" s="1"/>
  <c r="U31" i="2"/>
  <c r="H61" i="3" s="1"/>
  <c r="U14" i="2"/>
  <c r="H89" i="3" s="1"/>
  <c r="P54" i="2"/>
  <c r="U38" i="2"/>
  <c r="H98" i="3" s="1"/>
  <c r="F52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U49" i="1" l="1"/>
  <c r="AC48" i="3"/>
  <c r="AE48" i="3" s="1"/>
  <c r="U48" i="1"/>
  <c r="U10" i="2"/>
  <c r="H63" i="3" s="1"/>
  <c r="U46" i="2"/>
  <c r="H74" i="3" s="1"/>
  <c r="AH39" i="1" l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G54" i="1"/>
  <c r="N54" i="1" l="1"/>
  <c r="AE39" i="1" l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J6" i="3" l="1"/>
  <c r="M6" i="3" s="1"/>
  <c r="Y20" i="3" s="1"/>
  <c r="V6" i="3"/>
  <c r="J7" i="3"/>
  <c r="M7" i="3" s="1"/>
  <c r="S7" i="3"/>
  <c r="J8" i="3"/>
  <c r="M8" i="3" s="1"/>
  <c r="Z22" i="3"/>
  <c r="J9" i="3"/>
  <c r="M9" i="3" s="1"/>
  <c r="Z39" i="3"/>
  <c r="J10" i="3"/>
  <c r="M10" i="3" s="1"/>
  <c r="Z19" i="3"/>
  <c r="H55" i="3"/>
  <c r="Q55" i="3"/>
  <c r="F6" i="2"/>
  <c r="F54" i="2" s="1"/>
  <c r="Q6" i="2"/>
  <c r="T26" i="2" s="1"/>
  <c r="L55" i="2"/>
  <c r="F6" i="1"/>
  <c r="I6" i="1"/>
  <c r="I54" i="1" s="1"/>
  <c r="Q6" i="1"/>
  <c r="Q7" i="1"/>
  <c r="Q8" i="1"/>
  <c r="Q9" i="1"/>
  <c r="T7" i="1" s="1"/>
  <c r="Q10" i="1"/>
  <c r="Q11" i="1"/>
  <c r="T52" i="1" s="1"/>
  <c r="Q12" i="1"/>
  <c r="Q13" i="1"/>
  <c r="Q14" i="1"/>
  <c r="T39" i="1" s="1"/>
  <c r="Q15" i="1"/>
  <c r="Q16" i="1"/>
  <c r="Q17" i="1"/>
  <c r="Q18" i="1"/>
  <c r="Q19" i="1"/>
  <c r="T40" i="1" s="1"/>
  <c r="Q20" i="1"/>
  <c r="Q21" i="1"/>
  <c r="T50" i="1" s="1"/>
  <c r="Q22" i="1"/>
  <c r="Q23" i="1"/>
  <c r="Q24" i="1"/>
  <c r="Q25" i="1"/>
  <c r="Q26" i="1"/>
  <c r="T23" i="1" s="1"/>
  <c r="Q27" i="1"/>
  <c r="Q28" i="1"/>
  <c r="T31" i="1" s="1"/>
  <c r="Q29" i="1"/>
  <c r="Q30" i="1"/>
  <c r="Q31" i="1"/>
  <c r="T45" i="1" s="1"/>
  <c r="Q32" i="1"/>
  <c r="T51" i="1" s="1"/>
  <c r="Q33" i="1"/>
  <c r="Q34" i="1"/>
  <c r="Q35" i="1"/>
  <c r="T21" i="1" s="1"/>
  <c r="Q36" i="1"/>
  <c r="T14" i="1" s="1"/>
  <c r="Q37" i="1"/>
  <c r="L55" i="1"/>
  <c r="V7" i="3" l="1"/>
  <c r="Z15" i="3" s="1"/>
  <c r="T53" i="1"/>
  <c r="U53" i="1" s="1"/>
  <c r="T16" i="1"/>
  <c r="U16" i="1" s="1"/>
  <c r="T11" i="1"/>
  <c r="U11" i="1" s="1"/>
  <c r="T12" i="1"/>
  <c r="T19" i="1"/>
  <c r="AC19" i="3" s="1"/>
  <c r="T22" i="1"/>
  <c r="AC22" i="3" s="1"/>
  <c r="AE22" i="3" s="1"/>
  <c r="T18" i="1"/>
  <c r="T42" i="1"/>
  <c r="AC42" i="3" s="1"/>
  <c r="AE42" i="3" s="1"/>
  <c r="T24" i="1"/>
  <c r="T6" i="1"/>
  <c r="AC6" i="3" s="1"/>
  <c r="T8" i="1"/>
  <c r="T28" i="1"/>
  <c r="U28" i="1" s="1"/>
  <c r="T9" i="1"/>
  <c r="AC9" i="3" s="1"/>
  <c r="AE9" i="3" s="1"/>
  <c r="T15" i="1"/>
  <c r="AC15" i="3" s="1"/>
  <c r="T10" i="1"/>
  <c r="T36" i="1"/>
  <c r="U36" i="1" s="1"/>
  <c r="T35" i="1"/>
  <c r="AC35" i="3" s="1"/>
  <c r="AE35" i="3" s="1"/>
  <c r="T30" i="1"/>
  <c r="T17" i="1"/>
  <c r="AC17" i="3" s="1"/>
  <c r="T26" i="1"/>
  <c r="AC26" i="3" s="1"/>
  <c r="T25" i="1"/>
  <c r="U25" i="1" s="1"/>
  <c r="T20" i="1"/>
  <c r="T27" i="1"/>
  <c r="AC27" i="3" s="1"/>
  <c r="AE27" i="3" s="1"/>
  <c r="T32" i="1"/>
  <c r="U32" i="1" s="1"/>
  <c r="T13" i="1"/>
  <c r="U13" i="1" s="1"/>
  <c r="T37" i="1"/>
  <c r="T34" i="1"/>
  <c r="U34" i="1" s="1"/>
  <c r="T29" i="1"/>
  <c r="T33" i="1"/>
  <c r="U33" i="1" s="1"/>
  <c r="AB26" i="3"/>
  <c r="U26" i="2"/>
  <c r="H96" i="3" s="1"/>
  <c r="T54" i="2"/>
  <c r="AC53" i="3"/>
  <c r="AE53" i="3" s="1"/>
  <c r="AC51" i="3"/>
  <c r="AE51" i="3" s="1"/>
  <c r="U51" i="1"/>
  <c r="T43" i="1"/>
  <c r="U43" i="1" s="1"/>
  <c r="T44" i="1"/>
  <c r="AC44" i="3" s="1"/>
  <c r="T41" i="1"/>
  <c r="U41" i="1" s="1"/>
  <c r="AC52" i="3"/>
  <c r="AE52" i="3" s="1"/>
  <c r="U52" i="1"/>
  <c r="AC23" i="3"/>
  <c r="AE23" i="3" s="1"/>
  <c r="U23" i="1"/>
  <c r="AC11" i="3"/>
  <c r="AE11" i="3" s="1"/>
  <c r="AC7" i="3"/>
  <c r="AE7" i="3" s="1"/>
  <c r="U7" i="1"/>
  <c r="AC14" i="3"/>
  <c r="AE14" i="3" s="1"/>
  <c r="U14" i="1"/>
  <c r="AC21" i="3"/>
  <c r="U21" i="1"/>
  <c r="AC31" i="3"/>
  <c r="U31" i="1"/>
  <c r="AC40" i="3"/>
  <c r="AE40" i="3" s="1"/>
  <c r="U40" i="1"/>
  <c r="AC45" i="3"/>
  <c r="U45" i="1"/>
  <c r="AC39" i="3"/>
  <c r="AE39" i="3" s="1"/>
  <c r="U39" i="1"/>
  <c r="AC16" i="3"/>
  <c r="AE16" i="3" s="1"/>
  <c r="U17" i="1"/>
  <c r="AC50" i="3"/>
  <c r="AE50" i="3" s="1"/>
  <c r="U50" i="1"/>
  <c r="G7" i="2"/>
  <c r="J7" i="2" s="1"/>
  <c r="G15" i="2"/>
  <c r="J15" i="2" s="1"/>
  <c r="G23" i="2"/>
  <c r="J23" i="2" s="1"/>
  <c r="G31" i="2"/>
  <c r="J31" i="2" s="1"/>
  <c r="G39" i="2"/>
  <c r="J39" i="2" s="1"/>
  <c r="G47" i="2"/>
  <c r="J47" i="2" s="1"/>
  <c r="G16" i="2"/>
  <c r="J16" i="2" s="1"/>
  <c r="G9" i="2"/>
  <c r="J9" i="2" s="1"/>
  <c r="G17" i="2"/>
  <c r="J17" i="2" s="1"/>
  <c r="G25" i="2"/>
  <c r="J25" i="2" s="1"/>
  <c r="G33" i="2"/>
  <c r="J33" i="2" s="1"/>
  <c r="G41" i="2"/>
  <c r="J41" i="2" s="1"/>
  <c r="G49" i="2"/>
  <c r="J49" i="2" s="1"/>
  <c r="G10" i="2"/>
  <c r="J10" i="2" s="1"/>
  <c r="G18" i="2"/>
  <c r="J18" i="2" s="1"/>
  <c r="G26" i="2"/>
  <c r="J26" i="2" s="1"/>
  <c r="G34" i="2"/>
  <c r="J34" i="2" s="1"/>
  <c r="G42" i="2"/>
  <c r="J42" i="2" s="1"/>
  <c r="G50" i="2"/>
  <c r="J50" i="2" s="1"/>
  <c r="G11" i="2"/>
  <c r="J11" i="2" s="1"/>
  <c r="G19" i="2"/>
  <c r="J19" i="2" s="1"/>
  <c r="G27" i="2"/>
  <c r="J27" i="2" s="1"/>
  <c r="G35" i="2"/>
  <c r="J35" i="2" s="1"/>
  <c r="G43" i="2"/>
  <c r="J43" i="2" s="1"/>
  <c r="G51" i="2"/>
  <c r="G12" i="2"/>
  <c r="J12" i="2" s="1"/>
  <c r="G20" i="2"/>
  <c r="J20" i="2" s="1"/>
  <c r="G28" i="2"/>
  <c r="J28" i="2" s="1"/>
  <c r="G36" i="2"/>
  <c r="J36" i="2" s="1"/>
  <c r="G44" i="2"/>
  <c r="J44" i="2" s="1"/>
  <c r="G52" i="2"/>
  <c r="G24" i="2"/>
  <c r="J24" i="2" s="1"/>
  <c r="G40" i="2"/>
  <c r="J40" i="2" s="1"/>
  <c r="G13" i="2"/>
  <c r="J13" i="2" s="1"/>
  <c r="G21" i="2"/>
  <c r="J21" i="2" s="1"/>
  <c r="G29" i="2"/>
  <c r="J29" i="2" s="1"/>
  <c r="G37" i="2"/>
  <c r="J37" i="2" s="1"/>
  <c r="G45" i="2"/>
  <c r="J45" i="2" s="1"/>
  <c r="G53" i="2"/>
  <c r="G14" i="2"/>
  <c r="J14" i="2" s="1"/>
  <c r="G22" i="2"/>
  <c r="J22" i="2" s="1"/>
  <c r="G30" i="2"/>
  <c r="J30" i="2" s="1"/>
  <c r="G38" i="2"/>
  <c r="J38" i="2" s="1"/>
  <c r="G46" i="2"/>
  <c r="J46" i="2" s="1"/>
  <c r="G8" i="2"/>
  <c r="J8" i="2" s="1"/>
  <c r="G32" i="2"/>
  <c r="J32" i="2" s="1"/>
  <c r="G48" i="2"/>
  <c r="J48" i="2" s="1"/>
  <c r="Z20" i="3"/>
  <c r="Y31" i="3"/>
  <c r="Y8" i="3"/>
  <c r="Y19" i="3"/>
  <c r="Y10" i="3"/>
  <c r="K54" i="3"/>
  <c r="K55" i="3" s="1"/>
  <c r="U6" i="2"/>
  <c r="J54" i="3"/>
  <c r="J55" i="3" s="1"/>
  <c r="N55" i="1"/>
  <c r="N55" i="2"/>
  <c r="Q54" i="1"/>
  <c r="P55" i="1"/>
  <c r="Q54" i="2"/>
  <c r="F54" i="1"/>
  <c r="O55" i="1"/>
  <c r="P55" i="2"/>
  <c r="O55" i="2"/>
  <c r="U54" i="2" l="1"/>
  <c r="H99" i="3"/>
  <c r="H107" i="3" s="1"/>
  <c r="AE15" i="3"/>
  <c r="M54" i="3"/>
  <c r="U19" i="1"/>
  <c r="AC28" i="3"/>
  <c r="U26" i="1"/>
  <c r="AC33" i="3"/>
  <c r="AE33" i="3" s="1"/>
  <c r="AC34" i="3"/>
  <c r="AE34" i="3" s="1"/>
  <c r="U9" i="1"/>
  <c r="U15" i="1"/>
  <c r="U22" i="1"/>
  <c r="AC25" i="3"/>
  <c r="AE25" i="3" s="1"/>
  <c r="AC36" i="3"/>
  <c r="AE36" i="3" s="1"/>
  <c r="AC13" i="3"/>
  <c r="AE13" i="3" s="1"/>
  <c r="AC32" i="3"/>
  <c r="AE32" i="3" s="1"/>
  <c r="U35" i="1"/>
  <c r="AC24" i="3"/>
  <c r="AE24" i="3" s="1"/>
  <c r="U24" i="1"/>
  <c r="AC10" i="3"/>
  <c r="AE10" i="3" s="1"/>
  <c r="U10" i="1"/>
  <c r="AC18" i="3"/>
  <c r="U18" i="1"/>
  <c r="AC37" i="3"/>
  <c r="AE37" i="3" s="1"/>
  <c r="U37" i="1"/>
  <c r="U6" i="1"/>
  <c r="AC20" i="3"/>
  <c r="AE20" i="3" s="1"/>
  <c r="U20" i="1"/>
  <c r="U27" i="1"/>
  <c r="U42" i="1"/>
  <c r="U29" i="1"/>
  <c r="AC29" i="3"/>
  <c r="AC12" i="3"/>
  <c r="U12" i="1"/>
  <c r="AC30" i="3"/>
  <c r="U30" i="1"/>
  <c r="AC8" i="3"/>
  <c r="AE8" i="3" s="1"/>
  <c r="U8" i="1"/>
  <c r="AE26" i="3"/>
  <c r="T54" i="1"/>
  <c r="AC43" i="3"/>
  <c r="U44" i="1"/>
  <c r="AC41" i="3"/>
  <c r="AE19" i="3"/>
  <c r="AE31" i="3"/>
  <c r="Y54" i="3"/>
  <c r="V36" i="3"/>
  <c r="V41" i="3"/>
  <c r="Z45" i="3"/>
  <c r="AE45" i="3" s="1"/>
  <c r="S54" i="3"/>
  <c r="S55" i="3" s="1"/>
  <c r="V15" i="3"/>
  <c r="G53" i="1"/>
  <c r="J53" i="1" s="1"/>
  <c r="G51" i="1"/>
  <c r="J51" i="1" s="1"/>
  <c r="G43" i="1"/>
  <c r="J43" i="1" s="1"/>
  <c r="G9" i="1"/>
  <c r="J9" i="1" s="1"/>
  <c r="G18" i="1"/>
  <c r="J18" i="1" s="1"/>
  <c r="G22" i="1"/>
  <c r="J22" i="1" s="1"/>
  <c r="G37" i="1"/>
  <c r="J37" i="1" s="1"/>
  <c r="G44" i="1"/>
  <c r="J44" i="1" s="1"/>
  <c r="G42" i="1"/>
  <c r="J42" i="1" s="1"/>
  <c r="G38" i="1"/>
  <c r="J38" i="1" s="1"/>
  <c r="G30" i="1"/>
  <c r="J30" i="1" s="1"/>
  <c r="G35" i="1"/>
  <c r="J35" i="1" s="1"/>
  <c r="G48" i="1"/>
  <c r="J48" i="1" s="1"/>
  <c r="G7" i="1"/>
  <c r="J7" i="1" s="1"/>
  <c r="G14" i="1"/>
  <c r="J14" i="1" s="1"/>
  <c r="G29" i="1"/>
  <c r="J29" i="1" s="1"/>
  <c r="G36" i="1"/>
  <c r="J36" i="1" s="1"/>
  <c r="G16" i="1"/>
  <c r="J16" i="1" s="1"/>
  <c r="G27" i="1"/>
  <c r="J27" i="1" s="1"/>
  <c r="G40" i="1"/>
  <c r="J40" i="1" s="1"/>
  <c r="G34" i="1"/>
  <c r="J34" i="1" s="1"/>
  <c r="G52" i="1"/>
  <c r="J52" i="1" s="1"/>
  <c r="G21" i="1"/>
  <c r="J21" i="1" s="1"/>
  <c r="G28" i="1"/>
  <c r="J28" i="1" s="1"/>
  <c r="G23" i="1"/>
  <c r="J23" i="1" s="1"/>
  <c r="G17" i="1"/>
  <c r="J17" i="1" s="1"/>
  <c r="G46" i="1"/>
  <c r="J46" i="1" s="1"/>
  <c r="G19" i="1"/>
  <c r="J19" i="1" s="1"/>
  <c r="G32" i="1"/>
  <c r="J32" i="1" s="1"/>
  <c r="G10" i="1"/>
  <c r="J10" i="1" s="1"/>
  <c r="G26" i="1"/>
  <c r="J26" i="1" s="1"/>
  <c r="G13" i="1"/>
  <c r="J13" i="1" s="1"/>
  <c r="G20" i="1"/>
  <c r="J20" i="1" s="1"/>
  <c r="G25" i="1"/>
  <c r="J25" i="1" s="1"/>
  <c r="G8" i="1"/>
  <c r="J8" i="1" s="1"/>
  <c r="G50" i="1"/>
  <c r="J50" i="1" s="1"/>
  <c r="G11" i="1"/>
  <c r="J11" i="1" s="1"/>
  <c r="G24" i="1"/>
  <c r="J24" i="1" s="1"/>
  <c r="G33" i="1"/>
  <c r="J33" i="1" s="1"/>
  <c r="G47" i="1"/>
  <c r="J47" i="1" s="1"/>
  <c r="G49" i="1"/>
  <c r="J49" i="1" s="1"/>
  <c r="G12" i="1"/>
  <c r="J12" i="1" s="1"/>
  <c r="G31" i="1"/>
  <c r="J31" i="1" s="1"/>
  <c r="G41" i="1"/>
  <c r="J41" i="1" s="1"/>
  <c r="G15" i="1"/>
  <c r="J15" i="1" s="1"/>
  <c r="G39" i="1"/>
  <c r="J39" i="1" s="1"/>
  <c r="G45" i="1"/>
  <c r="J45" i="1" s="1"/>
  <c r="AB6" i="3"/>
  <c r="V18" i="3" l="1"/>
  <c r="Z44" i="3" s="1"/>
  <c r="AE44" i="3" s="1"/>
  <c r="V38" i="3"/>
  <c r="V19" i="3"/>
  <c r="Z47" i="3" s="1"/>
  <c r="AE47" i="3" s="1"/>
  <c r="V17" i="3"/>
  <c r="Z41" i="3" s="1"/>
  <c r="AE41" i="3" s="1"/>
  <c r="V42" i="3"/>
  <c r="Z21" i="3" s="1"/>
  <c r="AE21" i="3" s="1"/>
  <c r="V39" i="3"/>
  <c r="Z30" i="3" s="1"/>
  <c r="AE30" i="3" s="1"/>
  <c r="V37" i="3"/>
  <c r="Z18" i="3" s="1"/>
  <c r="AE18" i="3" s="1"/>
  <c r="V16" i="3"/>
  <c r="Z28" i="3" s="1"/>
  <c r="AE28" i="3" s="1"/>
  <c r="V40" i="3"/>
  <c r="U54" i="1"/>
  <c r="AC54" i="3"/>
  <c r="AE6" i="3"/>
  <c r="AB54" i="3"/>
  <c r="U54" i="3"/>
  <c r="U55" i="3" s="1"/>
  <c r="Z17" i="3"/>
  <c r="AE17" i="3" s="1"/>
  <c r="T55" i="3"/>
  <c r="L55" i="3"/>
  <c r="Z43" i="3" l="1"/>
  <c r="AE43" i="3" s="1"/>
  <c r="Z29" i="3"/>
  <c r="AE29" i="3" s="1"/>
  <c r="Z46" i="3"/>
  <c r="AE46" i="3" s="1"/>
  <c r="Z38" i="3"/>
  <c r="AE38" i="3" s="1"/>
  <c r="AI6" i="3"/>
  <c r="Z12" i="3"/>
  <c r="V54" i="3"/>
  <c r="AE12" i="3" l="1"/>
  <c r="Z54" i="3"/>
  <c r="AE96" i="3"/>
  <c r="AE54" i="3" l="1"/>
  <c r="AE97" i="3"/>
  <c r="AE98" i="3"/>
  <c r="AI98" i="3" l="1"/>
  <c r="AI96" i="3"/>
  <c r="AE99" i="3"/>
  <c r="AE100" i="3" s="1"/>
  <c r="J54" i="2" l="1"/>
  <c r="G6" i="2"/>
  <c r="J6" i="2" s="1"/>
  <c r="G6" i="1"/>
  <c r="J6" i="1" s="1"/>
  <c r="J54" i="1" s="1"/>
</calcChain>
</file>

<file path=xl/comments1.xml><?xml version="1.0" encoding="utf-8"?>
<comments xmlns="http://schemas.openxmlformats.org/spreadsheetml/2006/main">
  <authors>
    <author>Utente</author>
  </authors>
  <commentList>
    <comment ref="K60" authorId="0" shapeId="0">
      <text>
        <r>
          <rPr>
            <b/>
            <sz val="9"/>
            <color indexed="81"/>
            <rFont val="Tahoma"/>
            <family val="2"/>
          </rPr>
          <t>squadratura nella cella K42 da azzerare</t>
        </r>
      </text>
    </comment>
  </commentList>
</comments>
</file>

<file path=xl/sharedStrings.xml><?xml version="1.0" encoding="utf-8"?>
<sst xmlns="http://schemas.openxmlformats.org/spreadsheetml/2006/main" count="530" uniqueCount="174">
  <si>
    <t>graduatoria</t>
  </si>
  <si>
    <t>Tetto NETTO 2024 provv.rio</t>
  </si>
  <si>
    <t>cod. NSIS</t>
  </si>
  <si>
    <t>ordinamento per codice NSIS</t>
  </si>
  <si>
    <t>1/3 tetto:</t>
  </si>
  <si>
    <t>Totale Branca</t>
  </si>
  <si>
    <t>D</t>
  </si>
  <si>
    <t>B</t>
  </si>
  <si>
    <t>A</t>
  </si>
  <si>
    <t>C</t>
  </si>
  <si>
    <t>COLEMAN SPA</t>
  </si>
  <si>
    <t>3°</t>
  </si>
  <si>
    <t>2°</t>
  </si>
  <si>
    <t>1°</t>
  </si>
  <si>
    <t>€ VMP</t>
  </si>
  <si>
    <t>Denominazione struttura erogatrice</t>
  </si>
  <si>
    <t>NSIS_23</t>
  </si>
  <si>
    <t>OLTRE il 10% di extra tetto</t>
  </si>
  <si>
    <t>entro il 10% di extra tetto</t>
  </si>
  <si>
    <t>entro il tetto di spesa</t>
  </si>
  <si>
    <t>(1°: + 3%;   2°: 0%;   3°: -3%)</t>
  </si>
  <si>
    <t>Graduatoria</t>
  </si>
  <si>
    <t>Tetto NETTO 2023</t>
  </si>
  <si>
    <t>codice NSIS</t>
  </si>
  <si>
    <t>RADIOLOGIA</t>
  </si>
  <si>
    <t>Branca: _______________________</t>
  </si>
  <si>
    <t>NETTO LIQUIDABILE (prima della RTU)</t>
  </si>
  <si>
    <t>Formazione dei tre Gruppi</t>
  </si>
  <si>
    <t>Cons.vo 2023 NETTO Liquidato</t>
  </si>
  <si>
    <t>Tetto di spesa NETTA 2023</t>
  </si>
  <si>
    <t>valore teorico massimo di produzione
COM x VMP</t>
  </si>
  <si>
    <t>C.O.M. vigente dal 01.01.2024</t>
  </si>
  <si>
    <t>VMP cons.vo 2023</t>
  </si>
  <si>
    <t>Classe VMP per il 2023</t>
  </si>
  <si>
    <t>ASL:</t>
  </si>
  <si>
    <t>Cons.vo 2022 NETTO Liquidato</t>
  </si>
  <si>
    <t>Tetto di spesa NETTA 2022</t>
  </si>
  <si>
    <t>C.O.M. vigente dal 01.01.2023</t>
  </si>
  <si>
    <t>VMP cons.vo 2022</t>
  </si>
  <si>
    <t>punteggio Indicatori</t>
  </si>
  <si>
    <t>Classe VMP per il 2024</t>
  </si>
  <si>
    <t>RADIOLOGIA: Conteggio TOTALE variazioni da applicare sul TETTO 2024 provv.rio</t>
  </si>
  <si>
    <t>classe 2024</t>
  </si>
  <si>
    <t>INDICE di col. 10</t>
  </si>
  <si>
    <t>Modifica del tetto NETTO 2023</t>
  </si>
  <si>
    <t>ordinamento per INDICE</t>
  </si>
  <si>
    <t>Modifica del tetto NETTO 2024</t>
  </si>
  <si>
    <t>RADIOLOGIA: conteggio del "tetto BASE" 2023 in relazione alla COM al 01.01.2023 e al TETTO e alla produzione 2022</t>
  </si>
  <si>
    <t>RADIOLOGIA: conteggio del "tetto BASE" 2024 in relazione alla COM al 01.01.2024 e al TETTO e alla produzione 2023</t>
  </si>
  <si>
    <t>INDICE: Tetto 2024 Teorico vs Tetto 2023 e Liquidato 2023 (2)</t>
  </si>
  <si>
    <t>INDICE: Tetto 2023 Teorico vs Tetto 2022 e Liquidato 2022 (2)</t>
  </si>
  <si>
    <t>Tetto TEORICO 2023
(1)</t>
  </si>
  <si>
    <t>Tetto Teorico 2024
(1)</t>
  </si>
  <si>
    <t>"TETTO BASE" 2023: importi ordinati x NSIS</t>
  </si>
  <si>
    <t>NSIS</t>
  </si>
  <si>
    <t>NETTO 2023 col. 12</t>
  </si>
  <si>
    <t>modifica da col. 17</t>
  </si>
  <si>
    <t>BASE 2023
col. 12 + 17</t>
  </si>
  <si>
    <t>"TETTO BASE" 2024: importi ordinati x NSIS</t>
  </si>
  <si>
    <t>NETTO 2024 col. 12</t>
  </si>
  <si>
    <t>BASE 2024
col. 12 + 17</t>
  </si>
  <si>
    <t>Variazione per Indicatori di Performance sui dati di attività del 2022 e del 2023</t>
  </si>
  <si>
    <t>Tetto BASE 2023</t>
  </si>
  <si>
    <t>Tetto BASE 2024</t>
  </si>
  <si>
    <r>
      <t xml:space="preserve">Tetto Base 2024 da:
</t>
    </r>
    <r>
      <rPr>
        <b/>
        <sz val="8"/>
        <color theme="1"/>
        <rFont val="Calibri"/>
        <family val="2"/>
        <scheme val="minor"/>
      </rPr>
      <t xml:space="preserve"> RAD_02 col 21</t>
    </r>
  </si>
  <si>
    <r>
      <t xml:space="preserve">Tetto Base 2023 da:
</t>
    </r>
    <r>
      <rPr>
        <b/>
        <sz val="8"/>
        <color theme="1"/>
        <rFont val="Calibri"/>
        <family val="2"/>
        <scheme val="minor"/>
      </rPr>
      <t xml:space="preserve"> RAD_01 col 21</t>
    </r>
  </si>
  <si>
    <t>Tetto Netto 2024 provv.rio (DGRC 800/23)</t>
  </si>
  <si>
    <t>25 = 21+...+24</t>
  </si>
  <si>
    <t>Variaz % totale vs Tetto di spesa NETTA 2024 provv.rio</t>
  </si>
  <si>
    <t>ordinamento in base al punteggio Indicatori di Performance sui dati consuntivi 2023</t>
  </si>
  <si>
    <t>ordinamento in base al punteggio Indicatori di Performance sui dati consuntivi 2022</t>
  </si>
  <si>
    <t>Punteggio Indicatori di Performance</t>
  </si>
  <si>
    <t>da col. 11
"per il 2023"</t>
  </si>
  <si>
    <t>da col. 19:
"per il 2024"</t>
  </si>
  <si>
    <t>Ordinamento per codice NSIS</t>
  </si>
  <si>
    <t>TOTALE variazioni
"per il 2023"
più
"per il 2024"</t>
  </si>
  <si>
    <t>Variazione del Tetto base "per il 2023": da RAD_01 col. 20</t>
  </si>
  <si>
    <t>Variazione del Tetto base "per il 2024": da RAD_02 col. 20</t>
  </si>
  <si>
    <t>ordinamento in base all'INDICE</t>
  </si>
  <si>
    <t>Variazione da applicare sul tetto BASE 2023</t>
  </si>
  <si>
    <t>Variazione da applicare sul tetto BASE 2024</t>
  </si>
  <si>
    <t>(2) Importo di col. 7 diviso per la media semplice degli importi di col. 8 e 9, purchè siano valorizzati entrambi: altrimenti, diviso l'unico imprto valorizzato. Se mancano entrambi, si ha: "n.v." = NON VALORIZZATO</t>
  </si>
  <si>
    <t>(1) Importi di col. 6 rapportati al Tetto Netto complessivo della branca per il 2023, esposto nel rigo di Totale</t>
  </si>
  <si>
    <t>Subtot con variaz finale (+)</t>
  </si>
  <si>
    <t>Subtot con variaz finale (-)</t>
  </si>
  <si>
    <t>Subtot con variaz finale (=)</t>
  </si>
  <si>
    <t>(1°: + 2%;   2°: 0%;   3°: -2%)</t>
  </si>
  <si>
    <t>CEDIM S.R.L.</t>
  </si>
  <si>
    <t>DIAGNOSTICA PER IMMAGINI DI ANNECCHINO S.R.L.</t>
  </si>
  <si>
    <t>EMINA SRL</t>
  </si>
  <si>
    <t xml:space="preserve">DIAGNOSTICHE GIORDANO </t>
  </si>
  <si>
    <t>SYNLAB SDN</t>
  </si>
  <si>
    <t>CLINICA MEDITERRANEA SPA</t>
  </si>
  <si>
    <t>CLINIC CENTER S.P.A. - (CENTRO DI RIABILITAZIONE EX ART. 44 )</t>
  </si>
  <si>
    <t>CENTRO AUGUSTO S.N.C.</t>
  </si>
  <si>
    <t>S.G.C. SASSO S.A.S.</t>
  </si>
  <si>
    <t>gennaro theo srl</t>
  </si>
  <si>
    <t>DIAGNOSTICA BASILE S.R.L. - DS 27</t>
  </si>
  <si>
    <t>DIAGNOSTICA MORI</t>
  </si>
  <si>
    <t>Istituto Diagnostico Varelli Pianura</t>
  </si>
  <si>
    <t xml:space="preserve">Istituto Diagnostico Varelli </t>
  </si>
  <si>
    <t>CLINICA SANATRIX S.P.A.</t>
  </si>
  <si>
    <t>TAC CENTRO VOMERO S.R.L.</t>
  </si>
  <si>
    <t>STUDIO DI RADIOLOGIA DOTT. ALDO MADARO S.N.C.</t>
  </si>
  <si>
    <t xml:space="preserve">Cerba Healthcare Campania </t>
  </si>
  <si>
    <t>CENTRO RADIODIAGNOSTICO SECONDIGLIANO S.A.S</t>
  </si>
  <si>
    <t>Hermitage Capodimonte Srl</t>
  </si>
  <si>
    <t>DIAGNOSTICA G.B. VICO</t>
  </si>
  <si>
    <t>Istituto Diagnostico Varelli Capodimonte</t>
  </si>
  <si>
    <t>vega srl</t>
  </si>
  <si>
    <t>CENTRO DI RAD. ED ECOGR.(C.R.E.)DI O. CAPUTO N.&amp; C. S.A.S. -</t>
  </si>
  <si>
    <t>SALUS S.R.L.</t>
  </si>
  <si>
    <t xml:space="preserve">CENTRO DI RADIOLOGIA CLINICA S.PATRIZIA </t>
  </si>
  <si>
    <t>Salus radiologia</t>
  </si>
  <si>
    <t>A.D.R. &amp; C. S.A.S.</t>
  </si>
  <si>
    <t>Studio di radiologia ed ecografia Accattatis S.a.s. del dott. Claudio Accattatis</t>
  </si>
  <si>
    <t>Studio Di Radiologia Medica Sandomenico Di Ciro Sandomenico S.A.S. </t>
  </si>
  <si>
    <t>Centro Medicina Nucleare Srl</t>
  </si>
  <si>
    <t>BENEDICTA SAS</t>
  </si>
  <si>
    <t>Frael sas</t>
  </si>
  <si>
    <t>CLINICA VESUVIO SRL</t>
  </si>
  <si>
    <t>CENTRO DI DIAGNOSTICA RADIOLOGICA SAS</t>
  </si>
  <si>
    <t xml:space="preserve">EMIRAD SRL (EX CENTRO DI RADIOLOGIA SAS DELLA SECLIN SRL &amp; C.) </t>
  </si>
  <si>
    <t>Studio di Radiologia Medica Vallone</t>
  </si>
  <si>
    <t>STUDIO CLINICO E RADIOLOGICO MINELLI SRL</t>
  </si>
  <si>
    <t>CENTRO DIAGNOSTICO TRIVELLINI SRL</t>
  </si>
  <si>
    <t>AMB072</t>
  </si>
  <si>
    <t>CASA DI CURA VILLA ANGELA SRL</t>
  </si>
  <si>
    <t>AMB335</t>
  </si>
  <si>
    <t>HEMATOLOGY S.R.L.</t>
  </si>
  <si>
    <t>AMB355</t>
  </si>
  <si>
    <t>AMB384</t>
  </si>
  <si>
    <t>CENTRO MULTIMEDICO AMBROSIO SRL</t>
  </si>
  <si>
    <t>RAD494</t>
  </si>
  <si>
    <t>Centro Polidiagnostico Castaldo srl</t>
  </si>
  <si>
    <t>RAD488</t>
  </si>
  <si>
    <t>LA NUOVA VILLALBA SRL</t>
  </si>
  <si>
    <t>RAD531</t>
  </si>
  <si>
    <t>NEW RAD S.r.l. (ex I.F.O. S.a.s. 530360)</t>
  </si>
  <si>
    <t>EMINA SRL (ex STUDIO DI RADIOLOGIA  PROF. V. MUTO SRL)</t>
  </si>
  <si>
    <t>DIAGNOSTICHE GIORDANO S.R.L.</t>
  </si>
  <si>
    <t>S.D.N. SPA</t>
  </si>
  <si>
    <t>CLINICA MEDITERRANEA SPA  (LABORATORIO DI ANALISI)</t>
  </si>
  <si>
    <t>CENTRO MEDICO NUCLEARE SRL</t>
  </si>
  <si>
    <t>GENNARO THEO S.R.L. - AGGREGATO AGG 311 DA 04/2017</t>
  </si>
  <si>
    <t>DIAGNOSTICA MORI S.R.L.</t>
  </si>
  <si>
    <t>ISTITUTO DIAGNOSTICO VARELLI SRL</t>
  </si>
  <si>
    <t>ISTITUTO DIAGNOSTICO VARELLI S.R.L. - AGGREGATO AGG 305 DA 02/2017</t>
  </si>
  <si>
    <t>CERBA HealthCare Campania S.r.l. ex CENTRO DR.AUGUSTO BASILE E C</t>
  </si>
  <si>
    <t>HERMITAGE HOSPITAL SRL</t>
  </si>
  <si>
    <t>DIAGNOSTICA G.B.VICO S.A.S. DI MEDICAL SERVICES 3000 SRL EX C ALINEI S.A.S. RADIOLOGIA-TAC-ECOGRAFIE</t>
  </si>
  <si>
    <t>ISTITUTO DIAGNOSTICO VARELLI CAPODIMONTE SRL</t>
  </si>
  <si>
    <t>V.E.G.A.  S.A.S.</t>
  </si>
  <si>
    <t>C.R.E. S.A.S.</t>
  </si>
  <si>
    <t>CLINICA SANTA PATRIZIA</t>
  </si>
  <si>
    <t>GESTIONE CENTRO DI DIAGNOSTICA RADIOLOGICA ED ECOGRAFIA SALUS S.A.S. DI NOVIELLO LUIGI - DS 32</t>
  </si>
  <si>
    <t>STUDIO DI RADIOLOGIA ED ECOGRAFIA ACCATTATIS DEL DOTT.CLAUDIO ACCATTATIS S.A.S.</t>
  </si>
  <si>
    <t>STUDIO DI RADIOLOGIA MEDICA SANDOMENICO S.A.S. DI CIRO SANDOMENICO</t>
  </si>
  <si>
    <t>CENTRO MEDICINA NUCLEARE SRL</t>
  </si>
  <si>
    <t>BENEDICTA S.A.S. DI G. GUARRACINO</t>
  </si>
  <si>
    <t>FRAEL DI A. D`ANGELO &amp; C. S.A.S.</t>
  </si>
  <si>
    <t>CLINICA VESUVIO S.R.L</t>
  </si>
  <si>
    <t>CENTRO DI DIAGNOSTICA RADIOLOGICA SAS - DS 26</t>
  </si>
  <si>
    <t>CENTRO DI RADIOLOGIA BARTOLOMERO DE IURI DI BARTOLOMEO DE IURI &amp; C. S.A.S.</t>
  </si>
  <si>
    <t>STUDIO DI RADIOLOGIA MEDICA VALLONE S.A.S. - (CENTRO DI RIABILITAZIONE EX ART. 44)</t>
  </si>
  <si>
    <t>STUDIO CLIN.RADIOL.MINELLI SNC - (CENTRO DI RIABILITAZIONE EX ART. 44)</t>
  </si>
  <si>
    <t>SDN  S.P.A.</t>
  </si>
  <si>
    <t>C.DI CURA VILLA ANGELA SRL</t>
  </si>
  <si>
    <t>HEMATOLOGY SRL</t>
  </si>
  <si>
    <t>COLEMAN S.P.A.</t>
  </si>
  <si>
    <t>CENTRO POLIDIAGNOSTICO CASTALDO SRL</t>
  </si>
  <si>
    <t>n.v</t>
  </si>
  <si>
    <t>n.v.</t>
  </si>
  <si>
    <t>NAPOLI 1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</si>
</sst>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000000"/>
    <numFmt numFmtId="165" formatCode="#,##0.000"/>
    <numFmt numFmtId="166" formatCode="0.0%"/>
    <numFmt numFmtId="167" formatCode="#,##0.0000"/>
    <numFmt numFmtId="168" formatCode="_-* #,##0_-;\-* #,##0_-;_-* &quot;-&quot;??_-;_-@_-"/>
    <numFmt numFmtId="169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0" fontId="22" fillId="8" borderId="0" applyNumberFormat="0" applyBorder="0" applyAlignment="0" applyProtection="0"/>
  </cellStyleXfs>
  <cellXfs count="190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3" fontId="0" fillId="0" borderId="1" xfId="1" applyNumberFormat="1" applyFont="1" applyFill="1" applyBorder="1"/>
    <xf numFmtId="3" fontId="0" fillId="2" borderId="0" xfId="0" applyNumberFormat="1" applyFill="1" applyAlignment="1">
      <alignment horizontal="center"/>
    </xf>
    <xf numFmtId="3" fontId="0" fillId="0" borderId="0" xfId="1" applyNumberFormat="1" applyFont="1" applyFill="1"/>
    <xf numFmtId="164" fontId="0" fillId="0" borderId="0" xfId="0" applyNumberFormat="1" applyFill="1" applyAlignment="1">
      <alignment horizontal="center"/>
    </xf>
    <xf numFmtId="3" fontId="4" fillId="0" borderId="0" xfId="0" applyNumberFormat="1" applyFont="1" applyFill="1"/>
    <xf numFmtId="164" fontId="0" fillId="3" borderId="0" xfId="0" applyNumberFormat="1" applyFill="1" applyAlignment="1">
      <alignment horizontal="center"/>
    </xf>
    <xf numFmtId="3" fontId="3" fillId="2" borderId="1" xfId="0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9" fontId="0" fillId="0" borderId="0" xfId="1" applyFont="1"/>
    <xf numFmtId="3" fontId="2" fillId="2" borderId="0" xfId="0" applyNumberFormat="1" applyFont="1" applyFill="1"/>
    <xf numFmtId="3" fontId="0" fillId="0" borderId="0" xfId="0" quotePrefix="1" applyNumberFormat="1" applyAlignment="1">
      <alignment horizontal="right"/>
    </xf>
    <xf numFmtId="3" fontId="8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3" fontId="0" fillId="0" borderId="1" xfId="0" applyNumberFormat="1" applyBorder="1"/>
    <xf numFmtId="3" fontId="0" fillId="4" borderId="1" xfId="1" applyNumberFormat="1" applyFont="1" applyFill="1" applyBorder="1"/>
    <xf numFmtId="3" fontId="0" fillId="5" borderId="1" xfId="1" applyNumberFormat="1" applyFont="1" applyFill="1" applyBorder="1"/>
    <xf numFmtId="3" fontId="0" fillId="2" borderId="1" xfId="0" applyNumberFormat="1" applyFill="1" applyBorder="1"/>
    <xf numFmtId="4" fontId="4" fillId="6" borderId="1" xfId="0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left"/>
    </xf>
    <xf numFmtId="3" fontId="4" fillId="0" borderId="0" xfId="0" applyNumberFormat="1" applyFont="1"/>
    <xf numFmtId="3" fontId="0" fillId="4" borderId="0" xfId="0" applyNumberFormat="1" applyFill="1"/>
    <xf numFmtId="3" fontId="0" fillId="5" borderId="0" xfId="0" applyNumberFormat="1" applyFill="1"/>
    <xf numFmtId="3" fontId="0" fillId="5" borderId="0" xfId="0" applyNumberForma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0" fillId="2" borderId="0" xfId="0" quotePrefix="1" applyNumberFormat="1" applyFill="1"/>
    <xf numFmtId="4" fontId="4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3" fontId="0" fillId="3" borderId="0" xfId="0" applyNumberFormat="1" applyFill="1"/>
    <xf numFmtId="3" fontId="0" fillId="0" borderId="0" xfId="0" applyNumberFormat="1" applyFill="1"/>
    <xf numFmtId="9" fontId="8" fillId="2" borderId="1" xfId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left"/>
    </xf>
    <xf numFmtId="3" fontId="14" fillId="0" borderId="10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/>
    </xf>
    <xf numFmtId="3" fontId="14" fillId="0" borderId="10" xfId="0" applyNumberFormat="1" applyFont="1" applyBorder="1" applyAlignment="1">
      <alignment horizontal="left"/>
    </xf>
    <xf numFmtId="3" fontId="3" fillId="4" borderId="0" xfId="0" applyNumberFormat="1" applyFont="1" applyFill="1"/>
    <xf numFmtId="0" fontId="17" fillId="4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left" vertical="top"/>
    </xf>
    <xf numFmtId="167" fontId="8" fillId="2" borderId="0" xfId="0" applyNumberFormat="1" applyFont="1" applyFill="1"/>
    <xf numFmtId="3" fontId="3" fillId="7" borderId="1" xfId="0" applyNumberFormat="1" applyFont="1" applyFill="1" applyBorder="1"/>
    <xf numFmtId="9" fontId="0" fillId="0" borderId="0" xfId="1" applyFont="1" applyAlignment="1">
      <alignment horizontal="center"/>
    </xf>
    <xf numFmtId="164" fontId="20" fillId="0" borderId="0" xfId="0" applyNumberFormat="1" applyFont="1" applyAlignment="1">
      <alignment horizontal="left" vertical="top"/>
    </xf>
    <xf numFmtId="3" fontId="10" fillId="0" borderId="0" xfId="0" applyNumberFormat="1" applyFont="1"/>
    <xf numFmtId="3" fontId="16" fillId="2" borderId="1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0" fontId="17" fillId="5" borderId="1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3" fontId="16" fillId="4" borderId="1" xfId="0" applyNumberFormat="1" applyFont="1" applyFill="1" applyBorder="1" applyAlignment="1">
      <alignment horizontal="center" vertical="center" wrapText="1"/>
    </xf>
    <xf numFmtId="3" fontId="0" fillId="4" borderId="0" xfId="0" quotePrefix="1" applyNumberFormat="1" applyFill="1"/>
    <xf numFmtId="3" fontId="7" fillId="0" borderId="14" xfId="0" applyNumberFormat="1" applyFont="1" applyBorder="1" applyAlignment="1">
      <alignment horizontal="left" vertical="center"/>
    </xf>
    <xf numFmtId="3" fontId="7" fillId="0" borderId="9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14" fillId="0" borderId="9" xfId="0" applyNumberFormat="1" applyFont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0" fillId="5" borderId="7" xfId="0" applyNumberFormat="1" applyFill="1" applyBorder="1"/>
    <xf numFmtId="3" fontId="3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12" fillId="0" borderId="14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164" fontId="3" fillId="0" borderId="0" xfId="0" quotePrefix="1" applyNumberFormat="1" applyFont="1" applyAlignment="1">
      <alignment horizontal="left"/>
    </xf>
    <xf numFmtId="3" fontId="0" fillId="0" borderId="0" xfId="0" quotePrefix="1" applyNumberFormat="1"/>
    <xf numFmtId="3" fontId="2" fillId="2" borderId="0" xfId="0" applyNumberFormat="1" applyFont="1" applyFill="1" applyAlignment="1">
      <alignment horizontal="center"/>
    </xf>
    <xf numFmtId="166" fontId="0" fillId="0" borderId="0" xfId="1" applyNumberFormat="1" applyFont="1" applyAlignment="1">
      <alignment horizontal="center"/>
    </xf>
    <xf numFmtId="0" fontId="23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wrapText="1"/>
    </xf>
    <xf numFmtId="3" fontId="23" fillId="0" borderId="1" xfId="0" applyNumberFormat="1" applyFont="1" applyFill="1" applyBorder="1" applyAlignment="1">
      <alignment horizontal="left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 wrapText="1"/>
    </xf>
    <xf numFmtId="0" fontId="22" fillId="8" borderId="1" xfId="4" applyBorder="1" applyAlignment="1">
      <alignment horizontal="left" vertical="center"/>
    </xf>
    <xf numFmtId="168" fontId="0" fillId="0" borderId="21" xfId="3" applyNumberFormat="1" applyFont="1" applyBorder="1" applyProtection="1">
      <protection hidden="1"/>
    </xf>
    <xf numFmtId="3" fontId="22" fillId="8" borderId="1" xfId="4" applyNumberFormat="1" applyBorder="1"/>
    <xf numFmtId="4" fontId="2" fillId="2" borderId="0" xfId="0" applyNumberFormat="1" applyFont="1" applyFill="1"/>
    <xf numFmtId="3" fontId="0" fillId="0" borderId="0" xfId="0" applyNumberFormat="1" applyBorder="1"/>
    <xf numFmtId="3" fontId="0" fillId="0" borderId="0" xfId="0" applyNumberFormat="1" applyFill="1" applyAlignment="1">
      <alignment wrapText="1"/>
    </xf>
    <xf numFmtId="4" fontId="4" fillId="0" borderId="0" xfId="0" applyNumberFormat="1" applyFont="1"/>
    <xf numFmtId="43" fontId="0" fillId="0" borderId="0" xfId="3" applyFont="1" applyFill="1"/>
    <xf numFmtId="43" fontId="0" fillId="2" borderId="0" xfId="3" applyFont="1" applyFill="1" applyAlignment="1">
      <alignment horizontal="center"/>
    </xf>
    <xf numFmtId="0" fontId="0" fillId="0" borderId="0" xfId="3" applyNumberFormat="1" applyFont="1" applyAlignment="1">
      <alignment horizontal="center"/>
    </xf>
    <xf numFmtId="0" fontId="0" fillId="0" borderId="0" xfId="3" applyNumberFormat="1" applyFon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/>
    <xf numFmtId="3" fontId="3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" fontId="0" fillId="5" borderId="1" xfId="1" applyNumberFormat="1" applyFont="1" applyFill="1" applyBorder="1"/>
    <xf numFmtId="3" fontId="4" fillId="0" borderId="0" xfId="0" applyNumberFormat="1" applyFont="1" applyAlignment="1">
      <alignment horizontal="left"/>
    </xf>
    <xf numFmtId="3" fontId="4" fillId="0" borderId="0" xfId="0" applyNumberFormat="1" applyFont="1" applyFill="1" applyAlignment="1">
      <alignment horizontal="left"/>
    </xf>
    <xf numFmtId="169" fontId="2" fillId="2" borderId="0" xfId="0" applyNumberFormat="1" applyFont="1" applyFill="1"/>
    <xf numFmtId="3" fontId="17" fillId="2" borderId="10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center"/>
    </xf>
    <xf numFmtId="0" fontId="22" fillId="0" borderId="0" xfId="4" applyFill="1" applyBorder="1" applyAlignment="1">
      <alignment horizontal="left" vertical="center"/>
    </xf>
    <xf numFmtId="4" fontId="0" fillId="0" borderId="0" xfId="0" applyNumberFormat="1"/>
    <xf numFmtId="165" fontId="0" fillId="0" borderId="0" xfId="0" applyNumberFormat="1"/>
    <xf numFmtId="3" fontId="0" fillId="0" borderId="0" xfId="0" applyNumberFormat="1" applyFont="1" applyFill="1"/>
    <xf numFmtId="167" fontId="3" fillId="0" borderId="0" xfId="0" applyNumberFormat="1" applyFont="1" applyFill="1"/>
    <xf numFmtId="3" fontId="17" fillId="2" borderId="10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2" fillId="0" borderId="0" xfId="4" applyFill="1" applyBorder="1" applyAlignment="1">
      <alignment horizontal="center" vertical="center"/>
    </xf>
    <xf numFmtId="3" fontId="22" fillId="0" borderId="0" xfId="4" applyNumberFormat="1" applyFill="1" applyBorder="1"/>
    <xf numFmtId="3" fontId="25" fillId="0" borderId="0" xfId="0" applyNumberFormat="1" applyFont="1" applyFill="1" applyBorder="1"/>
    <xf numFmtId="3" fontId="0" fillId="2" borderId="0" xfId="0" applyNumberFormat="1" applyFill="1"/>
    <xf numFmtId="0" fontId="24" fillId="0" borderId="1" xfId="0" applyNumberFormat="1" applyFont="1" applyFill="1" applyBorder="1" applyAlignment="1">
      <alignment horizontal="left" vertical="center"/>
    </xf>
    <xf numFmtId="0" fontId="24" fillId="0" borderId="1" xfId="4" applyFont="1" applyFill="1" applyBorder="1" applyAlignment="1">
      <alignment horizontal="left" vertical="center"/>
    </xf>
    <xf numFmtId="0" fontId="22" fillId="0" borderId="1" xfId="4" applyFill="1" applyBorder="1" applyAlignment="1">
      <alignment horizontal="left" vertical="center"/>
    </xf>
    <xf numFmtId="0" fontId="26" fillId="0" borderId="1" xfId="4" applyFont="1" applyFill="1" applyBorder="1" applyAlignment="1">
      <alignment horizontal="left" vertical="center"/>
    </xf>
    <xf numFmtId="3" fontId="22" fillId="0" borderId="0" xfId="4" applyNumberFormat="1" applyFill="1" applyBorder="1" applyAlignment="1">
      <alignment horizontal="center" wrapText="1"/>
    </xf>
    <xf numFmtId="4" fontId="22" fillId="0" borderId="1" xfId="4" applyNumberForma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/>
    </xf>
    <xf numFmtId="3" fontId="13" fillId="0" borderId="7" xfId="2" applyNumberFormat="1" applyFont="1" applyFill="1" applyBorder="1" applyAlignment="1">
      <alignment horizontal="center" vertical="center" wrapText="1"/>
    </xf>
    <xf numFmtId="3" fontId="13" fillId="0" borderId="8" xfId="2" applyNumberFormat="1" applyFont="1" applyFill="1" applyBorder="1" applyAlignment="1">
      <alignment horizontal="center" vertical="center" wrapText="1"/>
    </xf>
    <xf numFmtId="3" fontId="13" fillId="0" borderId="4" xfId="2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4" fillId="4" borderId="15" xfId="0" applyNumberFormat="1" applyFont="1" applyFill="1" applyBorder="1" applyAlignment="1">
      <alignment horizontal="center" vertical="center" wrapText="1"/>
    </xf>
    <xf numFmtId="3" fontId="14" fillId="4" borderId="16" xfId="0" applyNumberFormat="1" applyFont="1" applyFill="1" applyBorder="1" applyAlignment="1">
      <alignment horizontal="center" vertical="center" wrapText="1"/>
    </xf>
    <xf numFmtId="3" fontId="14" fillId="4" borderId="17" xfId="0" applyNumberFormat="1" applyFont="1" applyFill="1" applyBorder="1" applyAlignment="1">
      <alignment horizontal="center" vertical="center" wrapText="1"/>
    </xf>
    <xf numFmtId="3" fontId="14" fillId="4" borderId="18" xfId="0" applyNumberFormat="1" applyFont="1" applyFill="1" applyBorder="1" applyAlignment="1">
      <alignment horizontal="center" vertical="center" wrapText="1"/>
    </xf>
    <xf numFmtId="3" fontId="14" fillId="4" borderId="19" xfId="0" applyNumberFormat="1" applyFont="1" applyFill="1" applyBorder="1" applyAlignment="1">
      <alignment horizontal="center" vertical="center" wrapText="1"/>
    </xf>
    <xf numFmtId="3" fontId="14" fillId="4" borderId="20" xfId="0" applyNumberFormat="1" applyFont="1" applyFill="1" applyBorder="1" applyAlignment="1">
      <alignment horizontal="center" vertical="center" wrapText="1"/>
    </xf>
    <xf numFmtId="3" fontId="12" fillId="5" borderId="10" xfId="0" applyNumberFormat="1" applyFont="1" applyFill="1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 wrapText="1"/>
    </xf>
    <xf numFmtId="3" fontId="12" fillId="5" borderId="14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 wrapText="1"/>
    </xf>
    <xf numFmtId="3" fontId="9" fillId="0" borderId="5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6" fillId="5" borderId="1" xfId="0" applyNumberFormat="1" applyFont="1" applyFill="1" applyBorder="1" applyAlignment="1">
      <alignment horizontal="center" wrapText="1"/>
    </xf>
    <xf numFmtId="3" fontId="16" fillId="3" borderId="13" xfId="0" applyNumberFormat="1" applyFont="1" applyFill="1" applyBorder="1" applyAlignment="1">
      <alignment horizontal="center" vertical="center" wrapText="1"/>
    </xf>
    <xf numFmtId="3" fontId="16" fillId="3" borderId="12" xfId="0" applyNumberFormat="1" applyFont="1" applyFill="1" applyBorder="1" applyAlignment="1">
      <alignment horizontal="center" vertical="center" wrapText="1"/>
    </xf>
    <xf numFmtId="3" fontId="16" fillId="3" borderId="11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wrapText="1"/>
    </xf>
    <xf numFmtId="3" fontId="10" fillId="0" borderId="3" xfId="0" applyNumberFormat="1" applyFont="1" applyBorder="1" applyAlignment="1">
      <alignment horizont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12" fillId="0" borderId="16" xfId="0" applyNumberFormat="1" applyFont="1" applyFill="1" applyBorder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3" fontId="12" fillId="0" borderId="19" xfId="0" applyNumberFormat="1" applyFont="1" applyFill="1" applyBorder="1" applyAlignment="1">
      <alignment horizontal="center" vertical="center" wrapText="1"/>
    </xf>
    <xf numFmtId="3" fontId="12" fillId="0" borderId="20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</cellXfs>
  <cellStyles count="5">
    <cellStyle name="Migliaia" xfId="3" builtinId="3"/>
    <cellStyle name="Neutrale" xfId="4" builtinId="28"/>
    <cellStyle name="Normale" xfId="0" builtinId="0"/>
    <cellStyle name="Normale_ALLEGATO n. 1" xfId="2"/>
    <cellStyle name="Percentuale" xfId="1" builtinId="5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Zazzaro\Documenti\OO.SS.%20e%20Associaz_6216\PIANO%202011\AIOP\ACCORDO%2022-6-2011\Decreto%20n.%2084%20del%2020.12.2011\Allegato%20n.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zio.cartalemi/Desktop/Tetti%202025/DGRC_n._757_del_27dic2024_TAB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ato 2"/>
      <sheetName val="proiez 2011"/>
      <sheetName val="allegato 3 calcoli ARSan alta s"/>
      <sheetName val="calcoli terapie intensive"/>
      <sheetName val="calcoli riabilitazione"/>
      <sheetName val="calcoli ARSan alta specialità"/>
      <sheetName val="ESITO 2010"/>
      <sheetName val="Casa di cura Cobellis"/>
    </sheetNames>
    <sheetDataSet>
      <sheetData sheetId="0">
        <row r="1">
          <cell r="B1" t="str">
            <v>Importi in EURO</v>
          </cell>
        </row>
      </sheetData>
      <sheetData sheetId="1">
        <row r="1">
          <cell r="B1" t="str">
            <v>Importi in EURO</v>
          </cell>
        </row>
      </sheetData>
      <sheetData sheetId="2"/>
      <sheetData sheetId="3">
        <row r="1">
          <cell r="B1" t="str">
            <v>Importi in EURO</v>
          </cell>
        </row>
      </sheetData>
      <sheetData sheetId="4">
        <row r="1">
          <cell r="B1" t="str">
            <v>Importi in EURO</v>
          </cell>
        </row>
      </sheetData>
      <sheetData sheetId="5">
        <row r="1">
          <cell r="B1" t="str">
            <v>Importi in EURO</v>
          </cell>
        </row>
      </sheetData>
      <sheetData sheetId="6">
        <row r="1">
          <cell r="B1" t="str">
            <v>Importi in EURO</v>
          </cell>
        </row>
        <row r="2">
          <cell r="A2" t="str">
            <v>Codice NSIS</v>
          </cell>
          <cell r="B2" t="str">
            <v>Assistenza Ospedaliera erogata dalle Case di Cura private</v>
          </cell>
          <cell r="D2" t="str">
            <v>Passaggio di fascia in corso di verifica (ex decreto n. 65/2010)</v>
          </cell>
          <cell r="E2" t="str">
            <v>Fatturato 2010</v>
          </cell>
          <cell r="F2" t="str">
            <v>Conguagli per passaggi di fascia: decreto n° 62 del 22/8/2011</v>
          </cell>
          <cell r="G2" t="str">
            <v>Contestazioni sulle tariffe</v>
          </cell>
          <cell r="H2" t="str">
            <v>Abbattimenti per superamento soglie</v>
          </cell>
          <cell r="I2" t="str">
            <v>Altre contestazioni per controlli ecc.</v>
          </cell>
          <cell r="J2" t="str">
            <v>Abbattimento dei conguagli di col. (B) in proporzione alle riduzioni di col. (D) ed (E)</v>
          </cell>
          <cell r="K2" t="str">
            <v>NOTE</v>
          </cell>
          <cell r="L2" t="str">
            <v>Fatturato 2010 al netto dei controlli (dati ASL al 9/11/2011)</v>
          </cell>
          <cell r="M2" t="str">
            <v>TETTO 2010 (decreto n. 65 del 22/10/2011)</v>
          </cell>
          <cell r="N2" t="str">
            <v>Fatturato riconoscibile ma eccedente il tetto di spesa</v>
          </cell>
          <cell r="O2" t="str">
            <v>tetto non utilizzato, disponibile per compensazione regionale</v>
          </cell>
          <cell r="P2" t="str">
            <v>Compensazione Regionale ai sensi del decreto 65/2010</v>
          </cell>
          <cell r="Q2" t="str">
            <v>Regressione tariffaria dopo compensazione regionale</v>
          </cell>
          <cell r="R2" t="str">
            <v>Note Credito da emettere vs. la ASL competente (per regressione tariffaria)</v>
          </cell>
          <cell r="S2" t="str">
            <v>Note Credito da emettere vs. la Regione Campania (eventuali)</v>
          </cell>
          <cell r="V2" t="str">
            <v>Tetto di spesa 2011 DCA 23/2011</v>
          </cell>
          <cell r="W2" t="str">
            <v>% Tetto 2011 / Fatturato al netto dei controlli 2010</v>
          </cell>
          <cell r="X2" t="str">
            <v>differenza addendum=(fatturato lordo 2010-Tetto 2010 )*20% per cambio fascia</v>
          </cell>
          <cell r="Y2" t="str">
            <v>riabilitazione</v>
          </cell>
          <cell r="Z2" t="str">
            <v>alta spec</v>
          </cell>
          <cell r="AA2" t="str">
            <v>*Tetto 2011&lt;80% del fatturato al netto dei controlli 2010 si dà il tetto 2010</v>
          </cell>
          <cell r="AB2" t="str">
            <v>integrazione per lavori</v>
          </cell>
          <cell r="AC2" t="str">
            <v>terapie intensive P.L.</v>
          </cell>
          <cell r="AD2" t="str">
            <v>UTIC P.L.</v>
          </cell>
          <cell r="AE2" t="str">
            <v>TIN P.L.</v>
          </cell>
          <cell r="AF2" t="str">
            <v>totale</v>
          </cell>
          <cell r="AG2" t="str">
            <v>importo per terapie intensive</v>
          </cell>
          <cell r="AH2" t="str">
            <v>NUOVO TETTO 2011</v>
          </cell>
          <cell r="AI2" t="str">
            <v>% Nuovo Tetto 2011 / Fatturato liquidabile 2010</v>
          </cell>
          <cell r="AJ2" t="str">
            <v xml:space="preserve"> ipotesi AIOP</v>
          </cell>
          <cell r="AK2" t="str">
            <v>differenza con ipotesi AIOP</v>
          </cell>
        </row>
        <row r="4">
          <cell r="B4" t="str">
            <v>Casa di Cura Villa Esther S.p.A.</v>
          </cell>
        </row>
        <row r="5">
          <cell r="B5" t="str">
            <v>Casa di Cura Villa Maria s.r.l. Baiano</v>
          </cell>
        </row>
        <row r="6">
          <cell r="B6" t="str">
            <v>Casa di Cura S.Rita S.p.A.</v>
          </cell>
        </row>
        <row r="7">
          <cell r="B7" t="str">
            <v>Villa Julie s.r.l. Casa di Cura Villa Maria Mirabella</v>
          </cell>
        </row>
        <row r="8">
          <cell r="B8" t="str">
            <v>Casa di Cura Villa dei Pini S.p.A.</v>
          </cell>
        </row>
        <row r="9">
          <cell r="B9" t="str">
            <v>Casa di Cura Privata Montevergine S.p.A.</v>
          </cell>
        </row>
        <row r="10">
          <cell r="B10" t="str">
            <v>Casa di Cura Privata Malzoni-Villa dei Platani S.p.A.</v>
          </cell>
        </row>
        <row r="11">
          <cell r="B11" t="str">
            <v>TOTALE</v>
          </cell>
        </row>
        <row r="14">
          <cell r="B14" t="str">
            <v>Casa di Cura GE.P.O.S. s.r.l.</v>
          </cell>
        </row>
        <row r="15">
          <cell r="B15" t="str">
            <v>Casa di Cura Nuova Clinica S.Rita S.p.A.</v>
          </cell>
        </row>
        <row r="16">
          <cell r="B16" t="str">
            <v>Casa di cura San Francesco</v>
          </cell>
        </row>
        <row r="17">
          <cell r="B17" t="str">
            <v>C.M.R. S.p.A. Centro Medico Diagnostico e Riabilitaz.</v>
          </cell>
        </row>
        <row r="18">
          <cell r="B18" t="str">
            <v>Casa di Cura Privata Villa Margherita s.r.l.</v>
          </cell>
        </row>
        <row r="19">
          <cell r="B19" t="str">
            <v>TOTALE</v>
          </cell>
        </row>
        <row r="22">
          <cell r="B22" t="str">
            <v>Clinica Sant'Anna s.r.l.</v>
          </cell>
        </row>
        <row r="23">
          <cell r="B23" t="str">
            <v>Casa di Cura Villa Del Sole S.p.A.</v>
          </cell>
        </row>
        <row r="24">
          <cell r="B24" t="str">
            <v>Casa di Cura Villa Fiorita - Aversa S.p.A.</v>
          </cell>
        </row>
        <row r="25">
          <cell r="B25" t="str">
            <v xml:space="preserve">Casa di Cura Alba Clinica S.Paolo </v>
          </cell>
        </row>
        <row r="26">
          <cell r="B26" t="str">
            <v>Casa di Cura Villa Fiorita S.p.A. (Capua)</v>
          </cell>
        </row>
        <row r="27">
          <cell r="B27" t="str">
            <v>Clinica  San Michele s.r.l.</v>
          </cell>
        </row>
        <row r="28">
          <cell r="B28" t="str">
            <v>Casa di Cura  Pineta Grande S.p.A.</v>
          </cell>
        </row>
        <row r="29">
          <cell r="B29" t="str">
            <v xml:space="preserve">Minerva S.p.A. Casa di Cura S. Maria della Salute </v>
          </cell>
        </row>
        <row r="30">
          <cell r="B30" t="str">
            <v>Casa di Cura Villa Dei Pini Atena S.p.A.</v>
          </cell>
        </row>
        <row r="31">
          <cell r="B31" t="str">
            <v>Casa di Cura Villa Ortensia CALES s.r.l.</v>
          </cell>
        </row>
        <row r="32">
          <cell r="B32" t="str">
            <v>GE.IS. s.r.l. Casa di Cura Villa degli Ulivi</v>
          </cell>
        </row>
        <row r="33">
          <cell r="B33" t="str">
            <v>Casa di Cura Villa Delle Magnolie Rerif s.r.l.</v>
          </cell>
        </row>
        <row r="34">
          <cell r="B34" t="str">
            <v>Clinica Padre Pio s.r.l.</v>
          </cell>
        </row>
        <row r="35">
          <cell r="B35" t="str">
            <v>TOTALE</v>
          </cell>
        </row>
        <row r="38">
          <cell r="B38" t="str">
            <v>Casa di Cura Ospedale Internazionale</v>
          </cell>
        </row>
        <row r="39">
          <cell r="B39" t="str">
            <v>Clinica VILLALBA</v>
          </cell>
        </row>
        <row r="40">
          <cell r="B40" t="str">
            <v xml:space="preserve">Alma Mater S.p.A. Casa di Cura Villa Camaldoli </v>
          </cell>
        </row>
        <row r="41">
          <cell r="B41" t="str">
            <v xml:space="preserve">Casa di Cura Villa Angela </v>
          </cell>
        </row>
        <row r="42">
          <cell r="B42" t="str">
            <v>Casa di Cura Clinic Center  S.p.A.</v>
          </cell>
        </row>
        <row r="43">
          <cell r="B43" t="str">
            <v>Casa di Cura Villa Russo</v>
          </cell>
        </row>
        <row r="44">
          <cell r="B44" t="str">
            <v>Casa di Cura Hermitage Capodimonte S.p.A. Colucci</v>
          </cell>
        </row>
        <row r="45">
          <cell r="B45" t="str">
            <v>Casa di Cura Villa Delle Querce</v>
          </cell>
        </row>
        <row r="46">
          <cell r="B46" t="str">
            <v>Clinica Vesuvio s.r.l.</v>
          </cell>
        </row>
        <row r="47">
          <cell r="B47" t="str">
            <v>Casa di Cura Mediterranea S.p.A.</v>
          </cell>
        </row>
        <row r="48">
          <cell r="B48" t="str">
            <v>Clinica Santa Patrizia</v>
          </cell>
        </row>
        <row r="49">
          <cell r="B49" t="str">
            <v>Casa di Cura Villa Cinzia</v>
          </cell>
        </row>
        <row r="50">
          <cell r="B50" t="str">
            <v>Casa di Cura Villa Bianca S.p.A. (ex Tasso)</v>
          </cell>
        </row>
        <row r="51">
          <cell r="B51" t="str">
            <v>Clinica Sanatrix S.p.A.</v>
          </cell>
        </row>
        <row r="52">
          <cell r="B52" t="str">
            <v>Stazione Climatica Bianchi</v>
          </cell>
        </row>
        <row r="53">
          <cell r="B53" t="str">
            <v>Casa di Cura Santo Stefano S.p.A.</v>
          </cell>
        </row>
        <row r="54">
          <cell r="B54" t="str">
            <v>TOTALE</v>
          </cell>
        </row>
        <row r="57">
          <cell r="B57" t="str">
            <v>Casa di Cura Privata Villa Dei Fiori s.r.l. Acerra</v>
          </cell>
        </row>
        <row r="58">
          <cell r="B58" t="str">
            <v>Casa di Cura Villa Majone s.r.l.</v>
          </cell>
        </row>
        <row r="59">
          <cell r="B59" t="str">
            <v xml:space="preserve">Casa di Cura S.Antimo </v>
          </cell>
        </row>
        <row r="60">
          <cell r="B60" t="str">
            <v>Casa di Cura Villa Dei Fiori s.r.l. Mugnano</v>
          </cell>
        </row>
        <row r="61">
          <cell r="B61" t="str">
            <v>TOTALE</v>
          </cell>
        </row>
        <row r="64">
          <cell r="B64" t="str">
            <v>Casa di Cura La Madonnina s.r.l.</v>
          </cell>
        </row>
        <row r="65">
          <cell r="B65" t="str">
            <v>Casa di Cura Nostra Signora di Lourdes S.p.A.</v>
          </cell>
        </row>
        <row r="66">
          <cell r="B66" t="str">
            <v>Casa di Cura S. Maria La Bruna s.r.l.</v>
          </cell>
        </row>
        <row r="67">
          <cell r="B67" t="str">
            <v>Casa di Cura Villa Stabia S.p.A.</v>
          </cell>
        </row>
        <row r="68">
          <cell r="B68" t="str">
            <v>Casa di Cura Villa Elisa S.p.A.</v>
          </cell>
        </row>
        <row r="69">
          <cell r="B69" t="str">
            <v>Casa di Cura Trusso s.r.l.</v>
          </cell>
        </row>
        <row r="70">
          <cell r="B70" t="str">
            <v>Casa di Cura Maria Rosaria S.p.A.</v>
          </cell>
        </row>
        <row r="71">
          <cell r="B71" t="str">
            <v xml:space="preserve">Casa di Cura Santa Lucia s.r.l. </v>
          </cell>
        </row>
        <row r="72">
          <cell r="B72" t="str">
            <v>Casa di Cura Andrea Grimaldi s.r.l.</v>
          </cell>
        </row>
        <row r="73">
          <cell r="B73" t="str">
            <v xml:space="preserve">Casa di Cura Villa Delle Margherite s.n.c. </v>
          </cell>
        </row>
        <row r="74">
          <cell r="B74" t="str">
            <v>Casa di Cura Meluccio s.r.l.</v>
          </cell>
        </row>
        <row r="75">
          <cell r="B75" t="str">
            <v>Casa di Cura Clinica S.Felice s.r.l.</v>
          </cell>
        </row>
        <row r="76">
          <cell r="B76" t="str">
            <v>Casa di Cura S.Maria Del Pozzo C.E.M. S.p.A.</v>
          </cell>
        </row>
        <row r="77">
          <cell r="B77" t="str">
            <v>TOTALE</v>
          </cell>
        </row>
        <row r="80">
          <cell r="B80" t="str">
            <v>Casa di Cura Villa DEL SOLE</v>
          </cell>
        </row>
        <row r="81">
          <cell r="B81" t="str">
            <v>Casa di Cura  Malzoni di Agropoli S.p.A.</v>
          </cell>
        </row>
        <row r="82">
          <cell r="B82" t="str">
            <v>Casa di Cura La Quiete s.r.l.</v>
          </cell>
        </row>
        <row r="83">
          <cell r="B83" t="str">
            <v>Casa di Cura Venosa s.r.l.</v>
          </cell>
        </row>
        <row r="84">
          <cell r="B84" t="str">
            <v>Casa di Cura Salus Battipaglia</v>
          </cell>
        </row>
        <row r="85">
          <cell r="B85" t="str">
            <v>Campolongo Hospital S.p.A. C.E.M.F.R. Eboli</v>
          </cell>
        </row>
        <row r="86">
          <cell r="B86" t="str">
            <v>Clinica Cobellis</v>
          </cell>
        </row>
        <row r="87">
          <cell r="B87" t="str">
            <v>Casa di Cura  Tortorella</v>
          </cell>
        </row>
        <row r="88">
          <cell r="B88" t="str">
            <v>Casa di Cura Villa Chiarugi s.r.l.</v>
          </cell>
        </row>
        <row r="89">
          <cell r="B89" t="str">
            <v>Villa SILBA (da verificare)</v>
          </cell>
        </row>
        <row r="90">
          <cell r="B90" t="str">
            <v>TOTALE</v>
          </cell>
        </row>
        <row r="92">
          <cell r="B92" t="str">
            <v xml:space="preserve">TOTALE per ASL </v>
          </cell>
        </row>
        <row r="93">
          <cell r="B93" t="str">
            <v>AVELLINO</v>
          </cell>
        </row>
        <row r="94">
          <cell r="B94" t="str">
            <v xml:space="preserve">BENEVENTO </v>
          </cell>
        </row>
        <row r="95">
          <cell r="B95" t="str">
            <v xml:space="preserve">CASERTA </v>
          </cell>
        </row>
        <row r="96">
          <cell r="B96" t="str">
            <v>NAPOLI 1 CENTRO</v>
          </cell>
        </row>
        <row r="97">
          <cell r="B97" t="str">
            <v>NAPOLI 2 NORD</v>
          </cell>
        </row>
        <row r="98">
          <cell r="B98" t="str">
            <v>NAPOLI 3 SUD</v>
          </cell>
        </row>
        <row r="99">
          <cell r="B99" t="str">
            <v>SALERNO</v>
          </cell>
        </row>
        <row r="100">
          <cell r="B100" t="str">
            <v>TOTALE GENERALE</v>
          </cell>
        </row>
        <row r="104">
          <cell r="B104" t="str">
            <v>*se il tetto 2011 dopo gli incrementi per:</v>
          </cell>
        </row>
        <row r="105">
          <cell r="B105" t="str">
            <v>a) passaggio fascia</v>
          </cell>
        </row>
        <row r="106">
          <cell r="B106" t="str">
            <v>b) rivalutazione DRG di alta specialità</v>
          </cell>
        </row>
        <row r="107">
          <cell r="B107" t="str">
            <v>c) contributo per posti letto di terapia intensiva</v>
          </cell>
        </row>
        <row r="108">
          <cell r="B108" t="str">
            <v>d) rivalutazione per posti letto di riabilitazione</v>
          </cell>
        </row>
        <row r="109">
          <cell r="B109" t="str">
            <v>e) rivalutazione per chiusure per lavori</v>
          </cell>
        </row>
        <row r="110">
          <cell r="B110" t="str">
            <v>risulta ancora inefriore all'80% del fatturato al netto dei controlli 2010 si dà il tetto 2010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_Riepilogo"/>
      <sheetName val="2.1 AD"/>
      <sheetName val="2.2 BV"/>
      <sheetName val="2.3 CA"/>
      <sheetName val="2.4 MN"/>
      <sheetName val="2.5 RAD"/>
      <sheetName val="2.6.1 LAB_2023_DEF"/>
      <sheetName val="2.6.2 LAB_2024"/>
      <sheetName val="2.6.3 var AGGR_2024"/>
      <sheetName val="2.6.4 LAB_2024 modif AGGR "/>
      <sheetName val="2.7 RT"/>
      <sheetName val="2.8 DI"/>
      <sheetName val="2.9 FKT"/>
      <sheetName val="All_3_ex_R"/>
      <sheetName val="Lab_riclassif_2023"/>
      <sheetName val="S.R. emendam"/>
      <sheetName val="S.R."/>
      <sheetName val="PEQ"/>
    </sheetNames>
    <sheetDataSet>
      <sheetData sheetId="0"/>
      <sheetData sheetId="1"/>
      <sheetData sheetId="2"/>
      <sheetData sheetId="3"/>
      <sheetData sheetId="4"/>
      <sheetData sheetId="5">
        <row r="1">
          <cell r="A1"/>
        </row>
        <row r="2">
          <cell r="A2" t="str">
            <v>2.5 Radiologia Diagnostica</v>
          </cell>
          <cell r="B2"/>
          <cell r="C2" t="str">
            <v>AA</v>
          </cell>
          <cell r="D2" t="str">
            <v>BB</v>
          </cell>
          <cell r="E2" t="str">
            <v>CC</v>
          </cell>
        </row>
        <row r="3">
          <cell r="A3"/>
          <cell r="B3"/>
          <cell r="C3" t="str">
            <v>Tetto di spesa definitivo 2024 (salvo modifche delle ASL)</v>
          </cell>
          <cell r="D3"/>
          <cell r="E3"/>
        </row>
        <row r="4">
          <cell r="A4" t="str">
            <v>NSIS_23</v>
          </cell>
          <cell r="B4" t="str">
            <v>Denominazione struttura erogatrice</v>
          </cell>
          <cell r="C4" t="str">
            <v>NUM (1)</v>
          </cell>
          <cell r="D4" t="str">
            <v>LORDO (2)</v>
          </cell>
          <cell r="E4" t="str">
            <v>NETTO (3)</v>
          </cell>
        </row>
        <row r="5">
          <cell r="A5"/>
          <cell r="B5" t="str">
            <v>ASL Avellino</v>
          </cell>
          <cell r="C5"/>
          <cell r="D5"/>
          <cell r="E5"/>
        </row>
        <row r="6">
          <cell r="A6">
            <v>86600</v>
          </cell>
          <cell r="B6" t="str">
            <v>CENTRO DIAGNOSTICO E DI ANALISI MEDICHE A. GUARINO SRL</v>
          </cell>
          <cell r="C6">
            <v>12100.608219588312</v>
          </cell>
          <cell r="D6">
            <v>764814.40442797868</v>
          </cell>
          <cell r="E6">
            <v>677514.15039999993</v>
          </cell>
        </row>
        <row r="7">
          <cell r="A7">
            <v>86800</v>
          </cell>
          <cell r="B7" t="str">
            <v>STUDIO DI RADIOLOGIA MEDICA ECOGRAFICA E TERAPIA FISICA DEL DR. VOLINO S.R.L.</v>
          </cell>
          <cell r="C7">
            <v>15150.72</v>
          </cell>
          <cell r="D7">
            <v>957614.48653082864</v>
          </cell>
          <cell r="E7">
            <v>848306.93760000006</v>
          </cell>
        </row>
        <row r="8">
          <cell r="A8">
            <v>87203</v>
          </cell>
          <cell r="B8" t="str">
            <v>Diagnostica Medica srl</v>
          </cell>
          <cell r="C8">
            <v>7389.3956956607844</v>
          </cell>
          <cell r="D8">
            <v>467043.98369917209</v>
          </cell>
          <cell r="E8">
            <v>413732.93440000003</v>
          </cell>
        </row>
        <row r="9">
          <cell r="A9">
            <v>150007</v>
          </cell>
          <cell r="B9" t="str">
            <v>GUIDI &amp; C.  DIAGNOSTICA RADIOLOGIA S.A.S.</v>
          </cell>
          <cell r="C9">
            <v>6334.08</v>
          </cell>
          <cell r="D9">
            <v>400329.09782973322</v>
          </cell>
          <cell r="E9">
            <v>354633.26400000002</v>
          </cell>
        </row>
        <row r="10">
          <cell r="A10">
            <v>150008</v>
          </cell>
          <cell r="B10" t="str">
            <v>CEDIR CENTRO MEDICO RADIOLOG. PACILLI S.R.L.</v>
          </cell>
          <cell r="C10">
            <v>17857.919999999998</v>
          </cell>
          <cell r="D10">
            <v>1128678.0973110832</v>
          </cell>
          <cell r="E10">
            <v>999844.37759999989</v>
          </cell>
        </row>
        <row r="11">
          <cell r="A11">
            <v>150114</v>
          </cell>
          <cell r="B11" t="str">
            <v>CENTRO DIAGNOSTICO ALTA IRPINIA s.a.s.</v>
          </cell>
          <cell r="C11">
            <v>4152.45</v>
          </cell>
          <cell r="D11">
            <v>202083.43009653315</v>
          </cell>
          <cell r="E11">
            <v>179016.48119999998</v>
          </cell>
        </row>
        <row r="12">
          <cell r="A12" t="str">
            <v>RDA497</v>
          </cell>
          <cell r="B12" t="str">
            <v>NOVAMED S.R.L.</v>
          </cell>
          <cell r="C12">
            <v>3968.31</v>
          </cell>
          <cell r="D12">
            <v>193149.51066030085</v>
          </cell>
          <cell r="E12">
            <v>171102.33</v>
          </cell>
        </row>
        <row r="13">
          <cell r="B13" t="str">
            <v>ASL Avellino Totale</v>
          </cell>
          <cell r="C13">
            <v>66953.483915249089</v>
          </cell>
          <cell r="D13">
            <v>4113713.0105556301</v>
          </cell>
          <cell r="E13">
            <v>3644150.4751999998</v>
          </cell>
        </row>
        <row r="14">
          <cell r="B14" t="str">
            <v>ASL Benevento</v>
          </cell>
        </row>
        <row r="15">
          <cell r="A15">
            <v>150033</v>
          </cell>
          <cell r="B15" t="str">
            <v>CASA DI CURA GE.P.O.S. S.R.L.</v>
          </cell>
          <cell r="C15">
            <v>8857.92</v>
          </cell>
          <cell r="D15">
            <v>545178.9359140984</v>
          </cell>
          <cell r="E15">
            <v>482949.12</v>
          </cell>
        </row>
        <row r="16">
          <cell r="A16">
            <v>150035</v>
          </cell>
          <cell r="B16" t="str">
            <v>CASA DI CURA S.FRANCESCO srl</v>
          </cell>
          <cell r="C16">
            <v>3013.2</v>
          </cell>
          <cell r="D16">
            <v>118435.9737996379</v>
          </cell>
          <cell r="E16">
            <v>104917.01999999999</v>
          </cell>
        </row>
        <row r="17">
          <cell r="A17">
            <v>170800</v>
          </cell>
          <cell r="B17" t="str">
            <v>CENT.RAD.BOZZI S.A.S.</v>
          </cell>
          <cell r="C17">
            <v>17126.879999999997</v>
          </cell>
          <cell r="D17">
            <v>702048.14745701116</v>
          </cell>
          <cell r="E17">
            <v>621912.39</v>
          </cell>
        </row>
        <row r="18">
          <cell r="A18">
            <v>170900</v>
          </cell>
          <cell r="B18" t="str">
            <v>CENTR.RADIOLOGIA ed Ecografia Medica C.R.E.M. s.r.l.</v>
          </cell>
          <cell r="C18">
            <v>2470.08</v>
          </cell>
          <cell r="D18">
            <v>97102.296919264525</v>
          </cell>
          <cell r="E18">
            <v>86018.489999999991</v>
          </cell>
        </row>
        <row r="19">
          <cell r="A19">
            <v>171000</v>
          </cell>
          <cell r="B19" t="str">
            <v>DIAGNOSTICA PER IMMAGINI SRL</v>
          </cell>
          <cell r="C19">
            <v>6711.8099999999995</v>
          </cell>
          <cell r="D19">
            <v>275099.55333939864</v>
          </cell>
          <cell r="E19">
            <v>243698.12999999998</v>
          </cell>
        </row>
        <row r="20">
          <cell r="A20">
            <v>171201</v>
          </cell>
          <cell r="B20" t="str">
            <v>C.D.T. G. DE MASI S.R.L.</v>
          </cell>
          <cell r="C20">
            <v>1041.5999999999999</v>
          </cell>
          <cell r="D20">
            <v>40962.423331450627</v>
          </cell>
          <cell r="E20">
            <v>36286.74</v>
          </cell>
        </row>
        <row r="21">
          <cell r="A21">
            <v>171300</v>
          </cell>
          <cell r="B21" t="str">
            <v>DITAR SRL</v>
          </cell>
          <cell r="C21">
            <v>21680.639999999999</v>
          </cell>
          <cell r="D21">
            <v>1334455.7930402125</v>
          </cell>
          <cell r="E21">
            <v>1182133.44</v>
          </cell>
        </row>
        <row r="22">
          <cell r="A22">
            <v>171500</v>
          </cell>
          <cell r="B22" t="str">
            <v>CENTRO POLID. GAMMACORD SANNIO TAC SRL</v>
          </cell>
          <cell r="C22">
            <v>22366.079999999998</v>
          </cell>
          <cell r="D22">
            <v>1376623.6290067409</v>
          </cell>
          <cell r="E22">
            <v>1219488</v>
          </cell>
        </row>
        <row r="23">
          <cell r="A23">
            <v>171900</v>
          </cell>
          <cell r="B23" t="str">
            <v>Dott.ri Vittorio e Martino NARDONE SRL</v>
          </cell>
          <cell r="C23">
            <v>3143.3999999999996</v>
          </cell>
          <cell r="D23">
            <v>128849.27732684735</v>
          </cell>
          <cell r="E23">
            <v>114141.68999999999</v>
          </cell>
        </row>
        <row r="24">
          <cell r="A24">
            <v>190500</v>
          </cell>
          <cell r="B24" t="str">
            <v>Centro di Radiologia Carpinelli Srl</v>
          </cell>
          <cell r="C24">
            <v>18031.68</v>
          </cell>
          <cell r="D24">
            <v>1109853.6280163659</v>
          </cell>
          <cell r="E24">
            <v>983168.64</v>
          </cell>
        </row>
        <row r="25">
          <cell r="A25">
            <v>221100</v>
          </cell>
          <cell r="B25" t="str">
            <v>CENTRO MEDICO ARTEMISIA SRL</v>
          </cell>
          <cell r="C25">
            <v>3560.97</v>
          </cell>
          <cell r="D25">
            <v>145952.12315422608</v>
          </cell>
          <cell r="E25">
            <v>129292.31999999999</v>
          </cell>
        </row>
        <row r="26">
          <cell r="A26">
            <v>230700</v>
          </cell>
          <cell r="B26" t="str">
            <v>NEW CENTER SAS DIAGNOSTICA Med.Chir.Rad.- Ecografia</v>
          </cell>
          <cell r="C26">
            <v>6366.78</v>
          </cell>
          <cell r="D26">
            <v>260977.18626126356</v>
          </cell>
          <cell r="E26">
            <v>231187.77</v>
          </cell>
        </row>
        <row r="27">
          <cell r="B27" t="str">
            <v>ASL Benevento Totale</v>
          </cell>
          <cell r="C27">
            <v>114371.03999999998</v>
          </cell>
          <cell r="D27">
            <v>6135538.9675665172</v>
          </cell>
          <cell r="E27">
            <v>5435193.75</v>
          </cell>
        </row>
        <row r="28">
          <cell r="B28" t="str">
            <v xml:space="preserve">ASL Caserta </v>
          </cell>
        </row>
        <row r="29">
          <cell r="A29">
            <v>17</v>
          </cell>
          <cell r="B29" t="str">
            <v>CENTRO DI RADIOLOGIA GAMMA MEDICAL SRL</v>
          </cell>
          <cell r="C29">
            <v>6320.28</v>
          </cell>
          <cell r="D29">
            <v>344831.56484117254</v>
          </cell>
          <cell r="E29">
            <v>305470.53419999999</v>
          </cell>
        </row>
        <row r="30">
          <cell r="A30">
            <v>65</v>
          </cell>
          <cell r="B30" t="str">
            <v>CENTRO DI MEDICINA NUCLEARE N.1 S.R.L.</v>
          </cell>
          <cell r="C30">
            <v>33015.360000000001</v>
          </cell>
          <cell r="D30">
            <v>2469225.268389964</v>
          </cell>
          <cell r="E30">
            <v>2187373.8912</v>
          </cell>
        </row>
        <row r="31">
          <cell r="A31">
            <v>66</v>
          </cell>
          <cell r="B31" t="str">
            <v>RAD. MEDICA MASSA S.R.L.</v>
          </cell>
          <cell r="C31">
            <v>7966.08</v>
          </cell>
          <cell r="D31">
            <v>595748.69504498923</v>
          </cell>
          <cell r="E31">
            <v>527746.55999999994</v>
          </cell>
        </row>
        <row r="32">
          <cell r="A32">
            <v>67</v>
          </cell>
          <cell r="B32" t="str">
            <v>CENTRO DI RADIOLOGIA E ROENTGENFISIOTERAPIA DEL DR GINOLFI E C. S.R.L.</v>
          </cell>
          <cell r="C32">
            <v>5181.03</v>
          </cell>
          <cell r="D32">
            <v>266551.53188789578</v>
          </cell>
          <cell r="E32">
            <v>236125.82819999999</v>
          </cell>
        </row>
        <row r="33">
          <cell r="A33">
            <v>71</v>
          </cell>
          <cell r="B33" t="str">
            <v>CETAC - SRL</v>
          </cell>
          <cell r="C33">
            <v>31885.439999999999</v>
          </cell>
          <cell r="D33">
            <v>2384695.1048858617</v>
          </cell>
          <cell r="E33">
            <v>2112492.48</v>
          </cell>
        </row>
        <row r="34">
          <cell r="A34">
            <v>95</v>
          </cell>
          <cell r="B34" t="str">
            <v>CE.DI.R SAS</v>
          </cell>
          <cell r="C34">
            <v>10707.09</v>
          </cell>
          <cell r="D34">
            <v>584183.52481964906</v>
          </cell>
          <cell r="E34">
            <v>517501.50389999995</v>
          </cell>
        </row>
        <row r="35">
          <cell r="A35">
            <v>105</v>
          </cell>
          <cell r="B35" t="str">
            <v>CENTRO DIAGNOSTICO CASERTANO S.R.L.</v>
          </cell>
          <cell r="C35">
            <v>6753.66</v>
          </cell>
          <cell r="D35">
            <v>368465.28105672303</v>
          </cell>
          <cell r="E35">
            <v>326406.56399999995</v>
          </cell>
        </row>
        <row r="36">
          <cell r="A36">
            <v>114</v>
          </cell>
          <cell r="B36" t="str">
            <v>HERMES S.P.A.</v>
          </cell>
          <cell r="C36">
            <v>8014.74</v>
          </cell>
          <cell r="D36">
            <v>437284.31491161691</v>
          </cell>
          <cell r="E36">
            <v>387370.20299999998</v>
          </cell>
        </row>
        <row r="37">
          <cell r="A37">
            <v>150</v>
          </cell>
          <cell r="B37" t="str">
            <v>CENTRO RAD. VEGA S.R.L.</v>
          </cell>
          <cell r="C37">
            <v>14396.4</v>
          </cell>
          <cell r="D37">
            <v>740693.54513903207</v>
          </cell>
          <cell r="E37">
            <v>656146.58279999997</v>
          </cell>
        </row>
        <row r="38">
          <cell r="A38">
            <v>150014</v>
          </cell>
          <cell r="B38" t="str">
            <v>CLINICA SANT`ANNA S.R.L</v>
          </cell>
          <cell r="C38">
            <v>5086.08</v>
          </cell>
          <cell r="D38">
            <v>380392.81774548342</v>
          </cell>
          <cell r="E38">
            <v>336972.62400000001</v>
          </cell>
        </row>
        <row r="39">
          <cell r="A39">
            <v>150016</v>
          </cell>
          <cell r="B39" t="str">
            <v>VILLA DEL SOLE S.P.A.</v>
          </cell>
          <cell r="C39">
            <v>669.59999999999991</v>
          </cell>
          <cell r="D39">
            <v>34472.349492836976</v>
          </cell>
          <cell r="E39">
            <v>30537.48</v>
          </cell>
        </row>
        <row r="40">
          <cell r="A40">
            <v>150020</v>
          </cell>
          <cell r="B40" t="str">
            <v>CASA DI CURA SAN MICHELE S.R.L.</v>
          </cell>
          <cell r="C40">
            <v>20355.84</v>
          </cell>
          <cell r="D40">
            <v>1522448.0923455716</v>
          </cell>
          <cell r="E40">
            <v>1348667.2319999998</v>
          </cell>
        </row>
        <row r="41">
          <cell r="A41">
            <v>150023</v>
          </cell>
          <cell r="B41" t="str">
            <v>CLINICA ATHENA VILLA dei PINI SpA</v>
          </cell>
          <cell r="C41">
            <v>14683.199999999999</v>
          </cell>
          <cell r="D41">
            <v>1098160.0972960938</v>
          </cell>
          <cell r="E41">
            <v>972809.87520000001</v>
          </cell>
        </row>
        <row r="42">
          <cell r="A42">
            <v>341110</v>
          </cell>
          <cell r="B42" t="str">
            <v>CENTRO DI RADIOLOGIA E TERAPIA FISICA DOTT. GAETANO GOLIA E C. SRL</v>
          </cell>
          <cell r="C42">
            <v>7201.3331815716601</v>
          </cell>
          <cell r="D42">
            <v>538587.70864974451</v>
          </cell>
          <cell r="E42">
            <v>477110.25279999996</v>
          </cell>
        </row>
        <row r="43">
          <cell r="A43">
            <v>341111</v>
          </cell>
          <cell r="B43" t="str">
            <v>CENTRO RX V. LIGUORI S.A.S</v>
          </cell>
          <cell r="C43">
            <v>18236.16</v>
          </cell>
          <cell r="D43">
            <v>1363858.8612107597</v>
          </cell>
          <cell r="E43">
            <v>1208180.2752</v>
          </cell>
        </row>
        <row r="44">
          <cell r="A44">
            <v>341113</v>
          </cell>
          <cell r="B44" t="str">
            <v>ALBA CLINICA S.PAOLO SRL</v>
          </cell>
          <cell r="C44">
            <v>325.5</v>
          </cell>
          <cell r="D44">
            <v>10988.129640052315</v>
          </cell>
          <cell r="E44">
            <v>9733.8821999999982</v>
          </cell>
        </row>
        <row r="45">
          <cell r="A45">
            <v>341116</v>
          </cell>
          <cell r="B45" t="str">
            <v>STUDIO DI RADIOL. S E E N   RX  SRL</v>
          </cell>
          <cell r="C45">
            <v>24832.32</v>
          </cell>
          <cell r="D45">
            <v>1857238.5265885594</v>
          </cell>
          <cell r="E45">
            <v>1645242.7871999997</v>
          </cell>
        </row>
        <row r="46">
          <cell r="A46">
            <v>341119</v>
          </cell>
          <cell r="B46" t="str">
            <v>D.R.D.   S.A.S.</v>
          </cell>
          <cell r="C46">
            <v>7574.4</v>
          </cell>
          <cell r="D46">
            <v>566523.46198230609</v>
          </cell>
          <cell r="E46">
            <v>501857.26079999999</v>
          </cell>
        </row>
        <row r="47">
          <cell r="A47">
            <v>361103</v>
          </cell>
          <cell r="B47" t="str">
            <v>STUD. RAD. MED. AMATO SRL</v>
          </cell>
          <cell r="C47">
            <v>30847.68</v>
          </cell>
          <cell r="D47">
            <v>2307095.2438083077</v>
          </cell>
          <cell r="E47">
            <v>2043750.3071999997</v>
          </cell>
        </row>
        <row r="48">
          <cell r="A48">
            <v>371108</v>
          </cell>
          <cell r="B48" t="str">
            <v>CENTRO RADIUM  S.N.C.</v>
          </cell>
          <cell r="C48">
            <v>3088.5299999999997</v>
          </cell>
          <cell r="D48">
            <v>168495.20881203117</v>
          </cell>
          <cell r="E48">
            <v>149262.21</v>
          </cell>
        </row>
        <row r="49">
          <cell r="A49">
            <v>381110</v>
          </cell>
          <cell r="B49" t="str">
            <v>POLISANITARIA IODICE SRL</v>
          </cell>
          <cell r="C49">
            <v>22697.279999999999</v>
          </cell>
          <cell r="D49">
            <v>1697497.3010822556</v>
          </cell>
          <cell r="E49">
            <v>1503735.3311999999</v>
          </cell>
        </row>
        <row r="50">
          <cell r="A50">
            <v>391110</v>
          </cell>
          <cell r="B50" t="str">
            <v>CAPUA CENTER S.R.L.</v>
          </cell>
          <cell r="C50">
            <v>19018.559999999998</v>
          </cell>
          <cell r="D50">
            <v>1422391.9485952579</v>
          </cell>
          <cell r="E50">
            <v>1260032.0639999998</v>
          </cell>
        </row>
        <row r="51">
          <cell r="A51">
            <v>391111</v>
          </cell>
          <cell r="B51" t="str">
            <v>CENTRO MEDICO CALES SRL - VILLA ORTENSIA -</v>
          </cell>
          <cell r="C51">
            <v>1502.8799999999999</v>
          </cell>
          <cell r="D51">
            <v>81996.655309061258</v>
          </cell>
          <cell r="E51">
            <v>72637.09199999999</v>
          </cell>
        </row>
        <row r="52">
          <cell r="A52">
            <v>391190</v>
          </cell>
          <cell r="B52" t="str">
            <v>CASA DI CURA VILLA FIORITA S.P.A.</v>
          </cell>
          <cell r="C52">
            <v>10087.68</v>
          </cell>
          <cell r="D52">
            <v>754430.20320255915</v>
          </cell>
          <cell r="E52">
            <v>668315.26079999993</v>
          </cell>
        </row>
        <row r="53">
          <cell r="A53">
            <v>401107</v>
          </cell>
          <cell r="B53" t="str">
            <v>PINETA GRANDE  S. P. A.</v>
          </cell>
          <cell r="C53">
            <v>6851.5199999999995</v>
          </cell>
          <cell r="D53">
            <v>512421.8065784623</v>
          </cell>
          <cell r="E53">
            <v>453931.07519999996</v>
          </cell>
        </row>
        <row r="54">
          <cell r="A54">
            <v>421106</v>
          </cell>
          <cell r="B54" t="str">
            <v>CENTRO DIAGNOSTICO DR. A GINOLFI &amp; C. S.R.L.</v>
          </cell>
          <cell r="C54">
            <v>24248.639999999999</v>
          </cell>
          <cell r="D54">
            <v>1813524.8689711422</v>
          </cell>
          <cell r="E54">
            <v>1606518.8544000001</v>
          </cell>
        </row>
        <row r="55">
          <cell r="A55">
            <v>421107</v>
          </cell>
          <cell r="B55" t="str">
            <v>STUDIO DIAGNOSTICO MONDRAGONE SRL</v>
          </cell>
          <cell r="C55">
            <v>17067.36</v>
          </cell>
          <cell r="D55">
            <v>931215.88818720472</v>
          </cell>
          <cell r="E55">
            <v>824921.625</v>
          </cell>
        </row>
        <row r="56">
          <cell r="A56">
            <v>431104</v>
          </cell>
          <cell r="B56" t="str">
            <v>STUDI DI RADIOLOGIA,ECOGRAFIA,FKT DOTTOR LORENZO FUSCO DI FRANCESCO FUSCO &amp; C. S.A.S.</v>
          </cell>
          <cell r="C56">
            <v>9949.14</v>
          </cell>
          <cell r="D56">
            <v>335692.82278994285</v>
          </cell>
          <cell r="E56">
            <v>297374.94</v>
          </cell>
        </row>
        <row r="57">
          <cell r="A57" t="str">
            <v>AMB481</v>
          </cell>
          <cell r="B57" t="str">
            <v>AURA Hospital Srl (ex VILLA FLORIA)</v>
          </cell>
          <cell r="C57">
            <v>4830.42</v>
          </cell>
          <cell r="D57">
            <v>248543.24399999998</v>
          </cell>
          <cell r="E57">
            <v>221851.49999999997</v>
          </cell>
        </row>
        <row r="58">
          <cell r="B58" t="str">
            <v>ASL Caserta  Totale</v>
          </cell>
          <cell r="C58">
            <v>373394.20318157168</v>
          </cell>
          <cell r="D58">
            <v>25837654.067264538</v>
          </cell>
          <cell r="E58">
            <v>22890076.076500002</v>
          </cell>
        </row>
        <row r="59">
          <cell r="B59" t="str">
            <v xml:space="preserve">ASL Napoli 1 Centro </v>
          </cell>
        </row>
        <row r="60">
          <cell r="A60">
            <v>440009</v>
          </cell>
          <cell r="B60" t="str">
            <v>CEDIM S.R.L.</v>
          </cell>
          <cell r="C60">
            <v>1709.34</v>
          </cell>
          <cell r="D60">
            <v>60990.106705639053</v>
          </cell>
          <cell r="E60">
            <v>54028.35</v>
          </cell>
        </row>
        <row r="61">
          <cell r="A61">
            <v>440011</v>
          </cell>
          <cell r="B61" t="str">
            <v>DIAGNOSTICA PER IMMAGINI DI ANNECCHINO S.R.L.</v>
          </cell>
          <cell r="C61">
            <v>2197.5899999999997</v>
          </cell>
          <cell r="D61">
            <v>94887.1471619894</v>
          </cell>
          <cell r="E61">
            <v>84056.189999999988</v>
          </cell>
        </row>
        <row r="62">
          <cell r="A62">
            <v>440018</v>
          </cell>
          <cell r="B62" t="str">
            <v>EMINA SRL (ex STUDIO DI RADIOLOGIA  PROF. V. MUTO SRL)</v>
          </cell>
          <cell r="C62">
            <v>17252.43</v>
          </cell>
          <cell r="D62">
            <v>744979.76333467674</v>
          </cell>
          <cell r="E62">
            <v>659943.5477400407</v>
          </cell>
        </row>
        <row r="63">
          <cell r="A63">
            <v>440073</v>
          </cell>
          <cell r="B63" t="str">
            <v>DIAGNOSTICHE GIORDANO S.R.L.</v>
          </cell>
          <cell r="C63">
            <v>969.06</v>
          </cell>
          <cell r="D63">
            <v>41857.871899896018</v>
          </cell>
          <cell r="E63">
            <v>37079.976990000097</v>
          </cell>
        </row>
        <row r="64">
          <cell r="A64">
            <v>440075</v>
          </cell>
          <cell r="B64" t="str">
            <v>S.D.N. SPA</v>
          </cell>
          <cell r="C64">
            <v>29653.05</v>
          </cell>
          <cell r="D64">
            <v>1280411.2298111231</v>
          </cell>
          <cell r="E64">
            <v>1134257.8297501102</v>
          </cell>
        </row>
        <row r="65">
          <cell r="A65">
            <v>440076</v>
          </cell>
          <cell r="B65" t="str">
            <v>CLINICA MEDITERRANEA SPA  (LABORATORIO DI ANALISI)</v>
          </cell>
          <cell r="C65">
            <v>5228.16</v>
          </cell>
          <cell r="D65">
            <v>398242.34534544725</v>
          </cell>
          <cell r="E65">
            <v>352784.70528000116</v>
          </cell>
        </row>
        <row r="66">
          <cell r="A66">
            <v>440079</v>
          </cell>
          <cell r="B66" t="str">
            <v>CENTRO MEDICO NUCLEARE SRL</v>
          </cell>
          <cell r="C66">
            <v>6059.8799999999992</v>
          </cell>
          <cell r="D66">
            <v>216209.53248406714</v>
          </cell>
          <cell r="E66">
            <v>191530.15013999806</v>
          </cell>
        </row>
        <row r="67">
          <cell r="A67">
            <v>450046</v>
          </cell>
          <cell r="B67" t="str">
            <v>CLINIC CENTER S.P.A. - (CENTRO DI RIABILITAZIONE EX ART. 44 )</v>
          </cell>
          <cell r="C67">
            <v>4262.1899999999996</v>
          </cell>
          <cell r="D67">
            <v>184057.78437529202</v>
          </cell>
          <cell r="E67">
            <v>163048.38491999832</v>
          </cell>
        </row>
        <row r="68">
          <cell r="A68">
            <v>450069</v>
          </cell>
          <cell r="B68" t="str">
            <v>CENTRO AUGUSTO S.N.C.</v>
          </cell>
          <cell r="C68">
            <v>7404.66</v>
          </cell>
          <cell r="D68">
            <v>319747.94387359475</v>
          </cell>
          <cell r="E68">
            <v>283250.09999999998</v>
          </cell>
        </row>
        <row r="69">
          <cell r="A69">
            <v>450070</v>
          </cell>
          <cell r="B69" t="str">
            <v>S.G.C. SASSO S.A.S.</v>
          </cell>
          <cell r="C69">
            <v>2341.7399999999998</v>
          </cell>
          <cell r="D69">
            <v>101102.164490458</v>
          </cell>
          <cell r="E69">
            <v>89561.79</v>
          </cell>
        </row>
        <row r="70">
          <cell r="A70">
            <v>450072</v>
          </cell>
          <cell r="B70" t="str">
            <v>GENNARO THEO S.R.L. - AGGREGATO AGG 311 DA 04/2017</v>
          </cell>
          <cell r="C70">
            <v>22576.68</v>
          </cell>
          <cell r="D70">
            <v>805534.57106648758</v>
          </cell>
          <cell r="E70">
            <v>713586.28626003221</v>
          </cell>
        </row>
        <row r="71">
          <cell r="A71">
            <v>460098</v>
          </cell>
          <cell r="B71" t="str">
            <v>DIAGNOSTICA BASILE S.R.L. - DS 27</v>
          </cell>
          <cell r="C71">
            <v>8062.1699999999992</v>
          </cell>
          <cell r="D71">
            <v>287663.46387889498</v>
          </cell>
          <cell r="E71">
            <v>254827.92453000098</v>
          </cell>
        </row>
        <row r="72">
          <cell r="A72">
            <v>460103</v>
          </cell>
          <cell r="B72" t="str">
            <v>DIAGNOSTICA MORI S.R.L.</v>
          </cell>
          <cell r="C72">
            <v>8688.06</v>
          </cell>
          <cell r="D72">
            <v>375155.09421406087</v>
          </cell>
          <cell r="E72">
            <v>332332.76393999514</v>
          </cell>
        </row>
        <row r="73">
          <cell r="A73">
            <v>460104</v>
          </cell>
          <cell r="B73" t="str">
            <v>ISTITUTO DIAGNOSTICO VARELLI SRL</v>
          </cell>
          <cell r="C73">
            <v>10485.119999999999</v>
          </cell>
          <cell r="D73">
            <v>798639.62413685105</v>
          </cell>
          <cell r="E73">
            <v>707478.36767999514</v>
          </cell>
        </row>
        <row r="74">
          <cell r="A74">
            <v>460133</v>
          </cell>
          <cell r="B74" t="str">
            <v>ISTITUTO DIAGNOSTICO VARELLI S.R.L. - AGGREGATO AGG 305 DA 02/2017</v>
          </cell>
          <cell r="C74">
            <v>31423.68</v>
          </cell>
          <cell r="D74">
            <v>2393521.1534035481</v>
          </cell>
          <cell r="E74">
            <v>2120311.0732799233</v>
          </cell>
        </row>
        <row r="75">
          <cell r="A75">
            <v>470125</v>
          </cell>
          <cell r="B75" t="str">
            <v>CLINICA SANATRIX S.P.A.</v>
          </cell>
          <cell r="C75">
            <v>3074.58</v>
          </cell>
          <cell r="D75">
            <v>132757.80933932855</v>
          </cell>
          <cell r="E75">
            <v>117604.07999999999</v>
          </cell>
        </row>
        <row r="76">
          <cell r="A76">
            <v>470141</v>
          </cell>
          <cell r="B76" t="str">
            <v>TAC CENTRO VOMERO S.R.L.</v>
          </cell>
          <cell r="C76">
            <v>20892.48</v>
          </cell>
          <cell r="D76">
            <v>1591365.211175882</v>
          </cell>
          <cell r="E76">
            <v>1409717.76</v>
          </cell>
        </row>
        <row r="77">
          <cell r="A77">
            <v>470145</v>
          </cell>
          <cell r="B77" t="str">
            <v>STUDIO DI RADIOLOGIA DOTT. ALDO MADARO S.N.C.</v>
          </cell>
          <cell r="C77">
            <v>1231.32</v>
          </cell>
          <cell r="D77">
            <v>43945.465775341989</v>
          </cell>
          <cell r="E77">
            <v>38929.281059999747</v>
          </cell>
        </row>
        <row r="78">
          <cell r="A78">
            <v>470182</v>
          </cell>
          <cell r="B78" t="str">
            <v>CERBA HealthCare Campania S.r.l. ex CENTRO DR.AUGUSTO BASILE E C</v>
          </cell>
          <cell r="C78">
            <v>27681.449999999997</v>
          </cell>
          <cell r="D78">
            <v>1195299.0083616904</v>
          </cell>
          <cell r="E78">
            <v>1058860.7999999998</v>
          </cell>
        </row>
        <row r="79">
          <cell r="A79">
            <v>480181</v>
          </cell>
          <cell r="B79" t="str">
            <v>CENTRO RADIODIAGNOSTICO SECONDIGLIANO S.A.S</v>
          </cell>
          <cell r="C79">
            <v>5485.1399999999994</v>
          </cell>
          <cell r="D79">
            <v>236850.95091911205</v>
          </cell>
          <cell r="E79">
            <v>209815.43999999997</v>
          </cell>
        </row>
        <row r="80">
          <cell r="A80">
            <v>480212</v>
          </cell>
          <cell r="B80" t="str">
            <v>HERMITAGE HOSPITAL SRL</v>
          </cell>
          <cell r="C80">
            <v>136.70999999999998</v>
          </cell>
          <cell r="D80">
            <v>4872.2796319970885</v>
          </cell>
          <cell r="E80">
            <v>4316.13</v>
          </cell>
        </row>
        <row r="81">
          <cell r="A81">
            <v>490241</v>
          </cell>
          <cell r="B81" t="str">
            <v>DIAGNOSTICA G.B.VICO S.A.S. DI MEDICAL SERVICES 3000 SRL EX C ALINEI S.A.S. RADIOLOGIA-TAC-ECOGRAFIE</v>
          </cell>
          <cell r="C81">
            <v>8656.4399999999987</v>
          </cell>
          <cell r="D81">
            <v>308878.19666581298</v>
          </cell>
          <cell r="E81">
            <v>273621.08739000472</v>
          </cell>
        </row>
        <row r="82">
          <cell r="A82">
            <v>490246</v>
          </cell>
          <cell r="B82" t="str">
            <v>ISTITUTO DIAGNOSTICO VARELLI CAPODIMONTE SRL</v>
          </cell>
          <cell r="C82">
            <v>7075.2</v>
          </cell>
          <cell r="D82">
            <v>538906.45541320776</v>
          </cell>
          <cell r="E82">
            <v>477392.61600000027</v>
          </cell>
        </row>
        <row r="83">
          <cell r="A83">
            <v>490248</v>
          </cell>
          <cell r="B83" t="str">
            <v>V.E.G.A.  S.A.S.</v>
          </cell>
          <cell r="C83">
            <v>10776.84</v>
          </cell>
          <cell r="D83">
            <v>465327.37595491431</v>
          </cell>
          <cell r="E83">
            <v>412212.26999999996</v>
          </cell>
        </row>
        <row r="84">
          <cell r="A84">
            <v>500230</v>
          </cell>
          <cell r="B84" t="str">
            <v>C.R.E. S.A.S.</v>
          </cell>
          <cell r="C84">
            <v>8905.68</v>
          </cell>
          <cell r="D84">
            <v>317752.92856033635</v>
          </cell>
          <cell r="E84">
            <v>281482.80705000885</v>
          </cell>
        </row>
        <row r="85">
          <cell r="A85">
            <v>500231</v>
          </cell>
          <cell r="B85" t="str">
            <v>SALUS S.R.L.</v>
          </cell>
          <cell r="C85">
            <v>22377.599999999999</v>
          </cell>
          <cell r="D85">
            <v>1704508.6013861215</v>
          </cell>
          <cell r="E85">
            <v>1509946.321920194</v>
          </cell>
        </row>
        <row r="86">
          <cell r="A86">
            <v>500232</v>
          </cell>
          <cell r="B86" t="str">
            <v>CLINICA SANTA PATRIZIA</v>
          </cell>
          <cell r="C86">
            <v>1977.1799999999998</v>
          </cell>
          <cell r="D86">
            <v>70555.911782893614</v>
          </cell>
          <cell r="E86">
            <v>62502.259830000374</v>
          </cell>
        </row>
        <row r="87">
          <cell r="A87">
            <v>500233</v>
          </cell>
          <cell r="B87" t="str">
            <v>GESTIONE CENTRO DI DIAGNOSTICA RADIOLOGICA ED ECOGRAFIA SALUS S.A.S. DI NOVIELLO LUIGI - DS 32</v>
          </cell>
          <cell r="C87">
            <v>4163.6099999999997</v>
          </cell>
          <cell r="D87">
            <v>179766.56162097323</v>
          </cell>
          <cell r="E87">
            <v>159246.98666999556</v>
          </cell>
        </row>
        <row r="88">
          <cell r="A88">
            <v>500234</v>
          </cell>
          <cell r="B88" t="str">
            <v>A.D.R. &amp; C. S.A.S.</v>
          </cell>
          <cell r="C88">
            <v>7896.6299999999992</v>
          </cell>
          <cell r="D88">
            <v>340972.43801711663</v>
          </cell>
          <cell r="E88">
            <v>302051.90999999997</v>
          </cell>
        </row>
        <row r="89">
          <cell r="A89">
            <v>510270</v>
          </cell>
          <cell r="B89" t="str">
            <v>STUDIO DI RADIOLOGIA ED ECOGRAFIA ACCATTATIS DEL DOTT.CLAUDIO ACCATTATIS S.A.S.</v>
          </cell>
          <cell r="C89">
            <v>5023.8599999999997</v>
          </cell>
          <cell r="D89">
            <v>179235.35296167299</v>
          </cell>
          <cell r="E89">
            <v>158776.41317999951</v>
          </cell>
        </row>
        <row r="90">
          <cell r="A90">
            <v>510271</v>
          </cell>
          <cell r="B90" t="str">
            <v>STUDIO DI RADIOLOGIA MEDICA SANDOMENICO S.A.S. DI CIRO SANDOMENICO</v>
          </cell>
          <cell r="C90">
            <v>4039.9199999999996</v>
          </cell>
          <cell r="D90">
            <v>144150.60799617672</v>
          </cell>
          <cell r="E90">
            <v>127696.43999999999</v>
          </cell>
        </row>
        <row r="91">
          <cell r="A91">
            <v>510299</v>
          </cell>
          <cell r="B91" t="str">
            <v>CENTRO MEDICINA NUCLEARE SRL</v>
          </cell>
          <cell r="C91">
            <v>16027.619999999999</v>
          </cell>
          <cell r="D91">
            <v>692073.67454522406</v>
          </cell>
          <cell r="E91">
            <v>613076.46</v>
          </cell>
        </row>
        <row r="92">
          <cell r="A92">
            <v>520314</v>
          </cell>
          <cell r="B92" t="str">
            <v>BENEDICTA S.A.S. DI G. GUARRACINO</v>
          </cell>
          <cell r="C92">
            <v>13235.759999999998</v>
          </cell>
          <cell r="D92">
            <v>571531.73372516234</v>
          </cell>
          <cell r="E92">
            <v>506293.86</v>
          </cell>
        </row>
        <row r="93">
          <cell r="A93">
            <v>520316</v>
          </cell>
          <cell r="B93" t="str">
            <v>FRAEL DI A. D`ANGELO &amp; C. S.A.S.</v>
          </cell>
          <cell r="C93">
            <v>6556.5</v>
          </cell>
          <cell r="D93">
            <v>283126.69229890557</v>
          </cell>
          <cell r="E93">
            <v>250809.00579000378</v>
          </cell>
        </row>
        <row r="94">
          <cell r="A94">
            <v>520322</v>
          </cell>
          <cell r="B94" t="str">
            <v>CENTRO POLIDIAGNOSTICO NAPOLI SRL</v>
          </cell>
          <cell r="C94"/>
          <cell r="D94"/>
          <cell r="E94"/>
        </row>
        <row r="95">
          <cell r="A95">
            <v>520333</v>
          </cell>
          <cell r="B95" t="str">
            <v>CLINICA VESUVIO S.R.L</v>
          </cell>
          <cell r="C95">
            <v>10228.14</v>
          </cell>
          <cell r="D95">
            <v>364954.21619974158</v>
          </cell>
          <cell r="E95">
            <v>323296.272</v>
          </cell>
        </row>
        <row r="96">
          <cell r="A96">
            <v>530355</v>
          </cell>
          <cell r="B96" t="str">
            <v>CENTRO DI DIAGNOSTICA RADIOLOGICA SAS - DS 26</v>
          </cell>
          <cell r="C96">
            <v>10514.58</v>
          </cell>
          <cell r="D96">
            <v>454020.66368673748</v>
          </cell>
          <cell r="E96">
            <v>402196.17</v>
          </cell>
        </row>
        <row r="97">
          <cell r="A97">
            <v>530359</v>
          </cell>
          <cell r="B97" t="str">
            <v>CENTRO DI RADIOLOGIA BARTOLOMERO DE IURI DI BARTOLOMEO DE IURI &amp; C. S.A.S.</v>
          </cell>
          <cell r="C97">
            <v>6817.83</v>
          </cell>
          <cell r="D97">
            <v>243244.52821502331</v>
          </cell>
          <cell r="E97">
            <v>215479.2181199948</v>
          </cell>
        </row>
        <row r="98">
          <cell r="A98">
            <v>530365</v>
          </cell>
          <cell r="B98" t="str">
            <v>STUDIO DI RADIOLOGIA MEDICA VALLONE S.A.S. - (CENTRO DI RIABILITAZIONE EX ART. 44)</v>
          </cell>
          <cell r="C98">
            <v>7089.3899999999994</v>
          </cell>
          <cell r="D98">
            <v>252956.97935571696</v>
          </cell>
          <cell r="E98">
            <v>224083.03499999997</v>
          </cell>
        </row>
        <row r="99">
          <cell r="A99">
            <v>530396</v>
          </cell>
          <cell r="B99" t="str">
            <v>STUDIO CLIN.RADIOL.MINELLI SNC - (CENTRO DI RIABILITAZIONE EX ART. 44)</v>
          </cell>
          <cell r="C99">
            <v>10021.679999999998</v>
          </cell>
          <cell r="D99">
            <v>432748.77583673451</v>
          </cell>
          <cell r="E99">
            <v>383352.37607998628</v>
          </cell>
        </row>
        <row r="100">
          <cell r="A100">
            <v>530439</v>
          </cell>
          <cell r="B100" t="str">
            <v>CENTRO DIAGNOSTICO TRIVELLINI SRL</v>
          </cell>
          <cell r="C100">
            <v>9307.4399999999987</v>
          </cell>
          <cell r="D100">
            <v>401892.2698840737</v>
          </cell>
          <cell r="E100">
            <v>356018.00672999292</v>
          </cell>
        </row>
        <row r="101">
          <cell r="A101">
            <v>530444</v>
          </cell>
          <cell r="B101" t="str">
            <v>SDN  S.P.A.</v>
          </cell>
          <cell r="C101">
            <v>95656.319999999992</v>
          </cell>
          <cell r="D101">
            <v>7286163.3734094203</v>
          </cell>
          <cell r="E101">
            <v>6454479.3599999994</v>
          </cell>
        </row>
        <row r="102">
          <cell r="A102" t="str">
            <v>AMB072</v>
          </cell>
          <cell r="B102" t="str">
            <v>C.DI CURA VILLA ANGELA SRL</v>
          </cell>
          <cell r="C102">
            <v>16275.84</v>
          </cell>
          <cell r="D102">
            <v>1239696.6863431204</v>
          </cell>
          <cell r="E102">
            <v>1098190.6752000088</v>
          </cell>
        </row>
        <row r="103">
          <cell r="A103" t="str">
            <v>AMB335</v>
          </cell>
          <cell r="B103" t="str">
            <v>HEMATOLOGY SRL</v>
          </cell>
          <cell r="C103">
            <v>9609.6899999999987</v>
          </cell>
          <cell r="D103">
            <v>414940.59273196664</v>
          </cell>
          <cell r="E103">
            <v>367576.92</v>
          </cell>
        </row>
        <row r="104">
          <cell r="A104" t="str">
            <v>AMB355</v>
          </cell>
          <cell r="B104" t="str">
            <v>COLEMAN S.P.A.</v>
          </cell>
          <cell r="C104">
            <v>10698.72</v>
          </cell>
          <cell r="D104">
            <v>461963.38444379787</v>
          </cell>
          <cell r="E104">
            <v>409232.2635599912</v>
          </cell>
        </row>
        <row r="105">
          <cell r="A105" t="str">
            <v>AMB384</v>
          </cell>
          <cell r="B105" t="str">
            <v>CENTRO MULTIMEDICO AMBROSIO SRL</v>
          </cell>
          <cell r="C105">
            <v>20409.78</v>
          </cell>
          <cell r="D105">
            <v>881300.52977616515</v>
          </cell>
          <cell r="E105">
            <v>780703.88871002977</v>
          </cell>
        </row>
        <row r="106">
          <cell r="A106" t="str">
            <v>RAD488</v>
          </cell>
          <cell r="B106" t="str">
            <v>LA NUOVA VILLALBA SRL</v>
          </cell>
          <cell r="C106">
            <v>3031.7999999999997</v>
          </cell>
          <cell r="D106">
            <v>108166.49753155009</v>
          </cell>
          <cell r="E106">
            <v>95819.76</v>
          </cell>
        </row>
        <row r="107">
          <cell r="A107" t="str">
            <v>RAD494</v>
          </cell>
          <cell r="B107" t="str">
            <v>CENTRO POLIDIAGNOSTICO CASTALDO SRL</v>
          </cell>
          <cell r="C107">
            <v>3031.7999999999997</v>
          </cell>
          <cell r="D107">
            <v>108166.49753155009</v>
          </cell>
          <cell r="E107">
            <v>95819.76</v>
          </cell>
        </row>
        <row r="108">
          <cell r="A108" t="str">
            <v>RAD531</v>
          </cell>
          <cell r="B108" t="str">
            <v>NEW RAD S.r.l. (ex I.F.O. S.a.s. 530360)</v>
          </cell>
          <cell r="C108">
            <v>3259.7550970258358</v>
          </cell>
          <cell r="D108">
            <v>116308.06186188183</v>
          </cell>
          <cell r="E108">
            <v>103032</v>
          </cell>
        </row>
        <row r="109">
          <cell r="B109" t="str">
            <v>ASL Napoli 1 Centro  Totale</v>
          </cell>
          <cell r="C109">
            <v>549481.09509702597</v>
          </cell>
          <cell r="D109">
            <v>29871400.109121375</v>
          </cell>
          <cell r="E109">
            <v>26461709.074800305</v>
          </cell>
        </row>
        <row r="110">
          <cell r="B110" t="str">
            <v>ASL Napoli 2 Nord</v>
          </cell>
        </row>
        <row r="111">
          <cell r="A111">
            <v>21030</v>
          </cell>
          <cell r="B111" t="str">
            <v>ECORAD SNC</v>
          </cell>
          <cell r="C111">
            <v>3673.92</v>
          </cell>
          <cell r="D111">
            <v>256004.5289518385</v>
          </cell>
          <cell r="E111">
            <v>226782.72</v>
          </cell>
        </row>
        <row r="112">
          <cell r="A112">
            <v>21031</v>
          </cell>
          <cell r="B112" t="str">
            <v>DIAGNOSTICA DI LABORATORIO E RADIOLOGIA SAS DI DE LUCIANO  VAINO</v>
          </cell>
          <cell r="C112">
            <v>1210.8599999999999</v>
          </cell>
          <cell r="D112">
            <v>38541.506108570808</v>
          </cell>
          <cell r="E112">
            <v>34142.159999999996</v>
          </cell>
        </row>
        <row r="113">
          <cell r="A113">
            <v>21051</v>
          </cell>
          <cell r="B113" t="str">
            <v>CENTRO MEDICO CHIRURGICO ISCHIA S.R.L.DIAGNOSTICA SAN GIOVAN GIUSEPPE</v>
          </cell>
          <cell r="C113">
            <v>7339.2</v>
          </cell>
          <cell r="D113">
            <v>511452.03629830072</v>
          </cell>
          <cell r="E113">
            <v>453072</v>
          </cell>
        </row>
        <row r="114">
          <cell r="A114">
            <v>22022</v>
          </cell>
          <cell r="B114" t="str">
            <v>STUDIO RADIOLOGIA GUIDA DOMENICO</v>
          </cell>
          <cell r="C114">
            <v>1804.1999999999998</v>
          </cell>
          <cell r="D114">
            <v>57452.166098047972</v>
          </cell>
          <cell r="E114">
            <v>50894.25</v>
          </cell>
        </row>
        <row r="115">
          <cell r="A115">
            <v>22034</v>
          </cell>
          <cell r="B115" t="str">
            <v>GIOMAR SAS DI MAGLIONE F &amp; C</v>
          </cell>
          <cell r="C115">
            <v>6589.98</v>
          </cell>
          <cell r="D115">
            <v>248430.62002941759</v>
          </cell>
          <cell r="E115">
            <v>220073.34</v>
          </cell>
        </row>
        <row r="116">
          <cell r="A116">
            <v>22035</v>
          </cell>
          <cell r="B116" t="str">
            <v>GESTIONE SERVIZI CENTRI DI RADIOLOGIA DANIELE</v>
          </cell>
          <cell r="C116">
            <v>8201.67</v>
          </cell>
          <cell r="D116">
            <v>261139.91053253255</v>
          </cell>
          <cell r="E116">
            <v>231331.91999999998</v>
          </cell>
        </row>
        <row r="117">
          <cell r="A117">
            <v>22053</v>
          </cell>
          <cell r="B117" t="str">
            <v>GEMINI STUDIO RADIOLOGICO SRL</v>
          </cell>
          <cell r="C117">
            <v>26912.639999999999</v>
          </cell>
          <cell r="D117">
            <v>1875541.5954844544</v>
          </cell>
          <cell r="E117">
            <v>1661456.64</v>
          </cell>
        </row>
        <row r="118">
          <cell r="A118">
            <v>22063</v>
          </cell>
          <cell r="B118" t="str">
            <v>STUDIO RADIOLOGICO FURBATTO S.A.S. DI MAIONE F.SCO &amp; C.</v>
          </cell>
          <cell r="C118">
            <v>15626.88</v>
          </cell>
          <cell r="D118">
            <v>1089065.0181799207</v>
          </cell>
          <cell r="E118">
            <v>964752.96</v>
          </cell>
        </row>
        <row r="119">
          <cell r="A119">
            <v>23005</v>
          </cell>
          <cell r="B119" t="str">
            <v>CASA DI CURA VILLA DEI FIORI MUGNANO</v>
          </cell>
          <cell r="C119">
            <v>1116.9299999999998</v>
          </cell>
          <cell r="D119">
            <v>42125.63941252212</v>
          </cell>
          <cell r="E119">
            <v>37317.18</v>
          </cell>
        </row>
        <row r="120">
          <cell r="A120">
            <v>23026</v>
          </cell>
          <cell r="B120" t="str">
            <v>VILLA MAIONE CASA DI CURA SRL</v>
          </cell>
          <cell r="C120">
            <v>1096.47</v>
          </cell>
          <cell r="D120">
            <v>41343.513076422612</v>
          </cell>
          <cell r="E120">
            <v>36624.329999999994</v>
          </cell>
        </row>
        <row r="121">
          <cell r="A121">
            <v>23044</v>
          </cell>
          <cell r="B121" t="str">
            <v>RAGGI X CENTRO DIAGN. E POLISP. DI ORLANDO GENNARO &amp; C. S.N</v>
          </cell>
          <cell r="C121">
            <v>22016.82</v>
          </cell>
          <cell r="D121">
            <v>998482.42751079123</v>
          </cell>
          <cell r="E121">
            <v>884509.98</v>
          </cell>
        </row>
        <row r="122">
          <cell r="A122">
            <v>23045</v>
          </cell>
          <cell r="B122" t="str">
            <v>STUDIO DI RADIOLOGIA CE.DI.ME.</v>
          </cell>
          <cell r="C122">
            <v>14385.24</v>
          </cell>
          <cell r="D122">
            <v>652356.35434748349</v>
          </cell>
          <cell r="E122">
            <v>577892.69999999995</v>
          </cell>
        </row>
        <row r="123">
          <cell r="A123">
            <v>23046</v>
          </cell>
          <cell r="B123" t="str">
            <v>STUDIO DI RADIOLOGIA DIAGNOSTICA PALUMBO SRL</v>
          </cell>
          <cell r="C123">
            <v>23615.489999999998</v>
          </cell>
          <cell r="D123">
            <v>1070948.2697599253</v>
          </cell>
          <cell r="E123">
            <v>948704.15999999992</v>
          </cell>
        </row>
        <row r="124">
          <cell r="A124">
            <v>23048</v>
          </cell>
          <cell r="B124" t="str">
            <v>C.M.R.  DI ORABONA GIOVANNI</v>
          </cell>
          <cell r="C124">
            <v>8440.68</v>
          </cell>
          <cell r="D124">
            <v>382793.62556726439</v>
          </cell>
          <cell r="E124">
            <v>339099.38999999996</v>
          </cell>
        </row>
        <row r="125">
          <cell r="A125">
            <v>23049</v>
          </cell>
          <cell r="B125" t="str">
            <v>DIAGN. CICCARELLI S.A.S. DI GRAGNANIELLO LORENZO</v>
          </cell>
          <cell r="C125">
            <v>4557.9299999999994</v>
          </cell>
          <cell r="D125">
            <v>171849.42846818946</v>
          </cell>
          <cell r="E125">
            <v>152233.56</v>
          </cell>
        </row>
        <row r="126">
          <cell r="A126">
            <v>23050</v>
          </cell>
          <cell r="B126" t="str">
            <v>RAGGI X VARCATURO SRL</v>
          </cell>
          <cell r="C126">
            <v>12354.119999999999</v>
          </cell>
          <cell r="D126">
            <v>560275.41348937864</v>
          </cell>
          <cell r="E126">
            <v>496322.39999999997</v>
          </cell>
        </row>
        <row r="127">
          <cell r="A127">
            <v>23051</v>
          </cell>
          <cell r="B127" t="str">
            <v>CENTRO AKTIS DIAGNOSTICA E TERAPIA SPA</v>
          </cell>
          <cell r="C127">
            <v>124128</v>
          </cell>
          <cell r="D127">
            <v>8650509.7694058362</v>
          </cell>
          <cell r="E127">
            <v>7663091.5199999996</v>
          </cell>
        </row>
        <row r="128">
          <cell r="A128">
            <v>23057</v>
          </cell>
          <cell r="B128" t="str">
            <v>STUDIO DI DIAGNOSTICA RADIOLOGICA G.MAZZELLA</v>
          </cell>
          <cell r="C128">
            <v>6168.8565555552568</v>
          </cell>
          <cell r="D128">
            <v>429907.61335664586</v>
          </cell>
          <cell r="E128">
            <v>380835.52</v>
          </cell>
        </row>
        <row r="129">
          <cell r="A129">
            <v>322211</v>
          </cell>
          <cell r="B129" t="str">
            <v>X RAYS CENTER S.R.L</v>
          </cell>
          <cell r="C129">
            <v>17350.079999999998</v>
          </cell>
          <cell r="D129">
            <v>786824.34328614897</v>
          </cell>
          <cell r="E129">
            <v>697011.75</v>
          </cell>
        </row>
        <row r="130">
          <cell r="A130">
            <v>332711</v>
          </cell>
          <cell r="B130" t="str">
            <v>GESTIONE CENTRO DI DIAGNOSTICA RADIOLOGICA ED ECOGRAFICA SRL</v>
          </cell>
          <cell r="C130">
            <v>57044.159999999996</v>
          </cell>
          <cell r="D130">
            <v>3975440.4398783292</v>
          </cell>
          <cell r="E130">
            <v>3521661.1199999996</v>
          </cell>
        </row>
        <row r="131">
          <cell r="A131">
            <v>413011</v>
          </cell>
          <cell r="B131" t="str">
            <v>A. CHIANESE S.R.L.</v>
          </cell>
          <cell r="C131">
            <v>9464.6099999999988</v>
          </cell>
          <cell r="D131">
            <v>356819.68237070338</v>
          </cell>
          <cell r="E131">
            <v>316090.25999999995</v>
          </cell>
        </row>
        <row r="132">
          <cell r="A132">
            <v>413511</v>
          </cell>
          <cell r="B132" t="str">
            <v>IGEA RADIODIAGNOSTICA FRATTAMAGGIORE SRL</v>
          </cell>
          <cell r="C132">
            <v>31521.599999999999</v>
          </cell>
          <cell r="D132">
            <v>2196741.4936569855</v>
          </cell>
          <cell r="E132">
            <v>1945992.96</v>
          </cell>
        </row>
        <row r="133">
          <cell r="A133">
            <v>512811</v>
          </cell>
          <cell r="B133" t="str">
            <v>RADIOLOGIA SAS</v>
          </cell>
          <cell r="C133">
            <v>8647.14</v>
          </cell>
          <cell r="D133">
            <v>326002.85489437444</v>
          </cell>
          <cell r="E133">
            <v>288791.03999999998</v>
          </cell>
        </row>
        <row r="134">
          <cell r="A134">
            <v>512911</v>
          </cell>
          <cell r="B134" t="str">
            <v>CENTRO MEDICO SETTE RE S.R.L.  RAD</v>
          </cell>
          <cell r="C134">
            <v>3554.4599999999996</v>
          </cell>
          <cell r="D134">
            <v>161191.51361707237</v>
          </cell>
          <cell r="E134">
            <v>142792.19999999998</v>
          </cell>
        </row>
        <row r="135">
          <cell r="A135">
            <v>522211</v>
          </cell>
          <cell r="B135" t="str">
            <v>EMICENTER S.R.L.</v>
          </cell>
          <cell r="C135">
            <v>92716.800000000003</v>
          </cell>
          <cell r="D135">
            <v>6461405.1069805352</v>
          </cell>
          <cell r="E135">
            <v>5723863.6799999997</v>
          </cell>
        </row>
        <row r="136">
          <cell r="A136">
            <v>612311</v>
          </cell>
          <cell r="B136" t="str">
            <v>C.R.T.F.</v>
          </cell>
          <cell r="C136">
            <v>10507.199999999999</v>
          </cell>
          <cell r="D136">
            <v>732237.41125573625</v>
          </cell>
          <cell r="E136">
            <v>648655.67999999993</v>
          </cell>
        </row>
        <row r="137">
          <cell r="A137">
            <v>613711</v>
          </cell>
          <cell r="B137" t="str">
            <v>STUDIO DI RADIOLOGIA MEDICA ERREBI" SRL"</v>
          </cell>
          <cell r="C137">
            <v>1953.9299999999998</v>
          </cell>
          <cell r="D137">
            <v>62213.163325177215</v>
          </cell>
          <cell r="E137">
            <v>55111.799999999996</v>
          </cell>
        </row>
        <row r="138">
          <cell r="A138">
            <v>690100</v>
          </cell>
          <cell r="B138" t="str">
            <v>COLEMAN SPA</v>
          </cell>
          <cell r="C138">
            <v>36240</v>
          </cell>
          <cell r="D138">
            <v>2525534.875076348</v>
          </cell>
          <cell r="E138">
            <v>2237256</v>
          </cell>
        </row>
        <row r="139">
          <cell r="A139">
            <v>690200</v>
          </cell>
          <cell r="B139" t="str">
            <v>CASA DI CURA VILLA DEI FIORI SRL ACERRA</v>
          </cell>
          <cell r="C139">
            <v>6382.08</v>
          </cell>
          <cell r="D139">
            <v>444795.83998802234</v>
          </cell>
          <cell r="E139">
            <v>394024.32</v>
          </cell>
        </row>
        <row r="140">
          <cell r="A140">
            <v>712611</v>
          </cell>
          <cell r="B140" t="str">
            <v>ECOTAC S.A.S. DI SETOLA DR. VINCENZO DOMENICO</v>
          </cell>
          <cell r="C140">
            <v>4424.9399999999996</v>
          </cell>
          <cell r="D140">
            <v>166804.97605884966</v>
          </cell>
          <cell r="E140">
            <v>147764.91</v>
          </cell>
        </row>
        <row r="141">
          <cell r="A141">
            <v>713511</v>
          </cell>
          <cell r="B141" t="str">
            <v>I.D.A. S.R.L.</v>
          </cell>
          <cell r="C141"/>
          <cell r="D141"/>
          <cell r="E141"/>
        </row>
        <row r="142">
          <cell r="A142">
            <v>720200</v>
          </cell>
          <cell r="B142" t="str">
            <v>CENTRO BETA ECO RAD</v>
          </cell>
          <cell r="C142">
            <v>10617.81</v>
          </cell>
          <cell r="D142">
            <v>481529.46420326835</v>
          </cell>
          <cell r="E142">
            <v>426564.95999999996</v>
          </cell>
        </row>
        <row r="143">
          <cell r="A143">
            <v>812511</v>
          </cell>
          <cell r="B143" t="str">
            <v>STUDIO RAD. 'ANFRA' S.N.C. DR.CAPASSO G.</v>
          </cell>
          <cell r="C143">
            <v>5852.49</v>
          </cell>
          <cell r="D143">
            <v>186350.78562328016</v>
          </cell>
          <cell r="E143">
            <v>165079.65</v>
          </cell>
        </row>
        <row r="144">
          <cell r="A144" t="str">
            <v>AMB508</v>
          </cell>
          <cell r="B144" t="str">
            <v>AKTIS CLINIQUE S.P.A.</v>
          </cell>
          <cell r="C144">
            <v>5267.5199999999995</v>
          </cell>
          <cell r="D144">
            <v>367093.49343727657</v>
          </cell>
          <cell r="E144">
            <v>325191.36</v>
          </cell>
        </row>
        <row r="145">
          <cell r="A145" t="str">
            <v>RAD435</v>
          </cell>
          <cell r="B145" t="str">
            <v>CENTRO Radiologica ed Ecografia Medica Dott. CRISPINO ROCCO &amp; C SRL</v>
          </cell>
          <cell r="C145">
            <v>2199.4499999999998</v>
          </cell>
          <cell r="D145">
            <v>82915.889966630042</v>
          </cell>
          <cell r="E145">
            <v>73451.399999999994</v>
          </cell>
        </row>
        <row r="146">
          <cell r="A146" t="str">
            <v>RAD516</v>
          </cell>
          <cell r="B146" t="str">
            <v>I.D.A. S.R.L. (ex 713511)</v>
          </cell>
          <cell r="C146">
            <v>23230.079999999998</v>
          </cell>
          <cell r="D146">
            <v>1618879.2608624538</v>
          </cell>
          <cell r="E146">
            <v>1434091.2</v>
          </cell>
        </row>
        <row r="147">
          <cell r="B147" t="str">
            <v>ASL Napoli 2 Nord Totale</v>
          </cell>
          <cell r="C147">
            <v>616214.23655555514</v>
          </cell>
          <cell r="D147">
            <v>38271000.030558735</v>
          </cell>
          <cell r="E147">
            <v>33902531.020000003</v>
          </cell>
        </row>
        <row r="148">
          <cell r="B148" t="str">
            <v>ASL Napoli 3 Sud</v>
          </cell>
        </row>
        <row r="149">
          <cell r="A149">
            <v>8016</v>
          </cell>
          <cell r="B149" t="str">
            <v>ME.DI MEDITERRANEA DIAGNOSTICA SRL PUNTO PRELIEVO MLF ANALISI</v>
          </cell>
          <cell r="C149">
            <v>31108.799999999999</v>
          </cell>
          <cell r="D149">
            <v>2209624.6437157691</v>
          </cell>
          <cell r="E149">
            <v>1957405.554239881</v>
          </cell>
        </row>
        <row r="150">
          <cell r="A150">
            <v>8017</v>
          </cell>
          <cell r="B150" t="str">
            <v>CENTRO LASER SRL PUNTO PRELIEVO DIAGNOSTICA CAMPANA</v>
          </cell>
          <cell r="C150">
            <v>21217.919999999998</v>
          </cell>
          <cell r="D150">
            <v>1507116.5505691983</v>
          </cell>
          <cell r="E150">
            <v>1335085.7193600668</v>
          </cell>
        </row>
        <row r="151">
          <cell r="A151">
            <v>8024</v>
          </cell>
          <cell r="B151" t="str">
            <v>STUDIO RADIOLOGICO D.C.P. CAPASSO-PEPE DI CAPASSO E C.SAS</v>
          </cell>
          <cell r="C151">
            <v>5906.4299999999994</v>
          </cell>
          <cell r="D151">
            <v>273047.12785339251</v>
          </cell>
          <cell r="E151">
            <v>241879.97999999998</v>
          </cell>
        </row>
        <row r="152">
          <cell r="A152">
            <v>8122</v>
          </cell>
          <cell r="B152" t="str">
            <v>CENTRO DIAGNOSTICO S. CIRO SRL</v>
          </cell>
          <cell r="C152">
            <v>17898.239999999998</v>
          </cell>
          <cell r="D152">
            <v>1271296.6954080453</v>
          </cell>
          <cell r="E152">
            <v>1126183.68</v>
          </cell>
        </row>
        <row r="153">
          <cell r="A153">
            <v>8126</v>
          </cell>
          <cell r="B153" t="str">
            <v>STUDIO RADIOLOGICO VENUTI-PALESCANDOLO</v>
          </cell>
          <cell r="C153">
            <v>4420.29</v>
          </cell>
          <cell r="D153">
            <v>192465.01888696276</v>
          </cell>
          <cell r="E153">
            <v>170495.97</v>
          </cell>
        </row>
        <row r="154">
          <cell r="A154">
            <v>8127</v>
          </cell>
          <cell r="B154" t="str">
            <v>CENTRO DIAGN. PER IMMAGINI MIDULLA SRL</v>
          </cell>
          <cell r="C154">
            <v>7145.19</v>
          </cell>
          <cell r="D154">
            <v>330308.6986869169</v>
          </cell>
          <cell r="E154">
            <v>292605.39035999536</v>
          </cell>
        </row>
        <row r="155">
          <cell r="A155">
            <v>8220</v>
          </cell>
          <cell r="B155" t="str">
            <v>CENTRO RAD.QUARANTELLI SRL</v>
          </cell>
          <cell r="C155">
            <v>4484.46</v>
          </cell>
          <cell r="D155">
            <v>137862.102287135</v>
          </cell>
          <cell r="E155">
            <v>122125.73999999999</v>
          </cell>
        </row>
        <row r="156">
          <cell r="A156">
            <v>8319</v>
          </cell>
          <cell r="B156" t="str">
            <v>C.R.T.  SRL</v>
          </cell>
          <cell r="C156">
            <v>14558.22</v>
          </cell>
          <cell r="D156">
            <v>673035.12587650272</v>
          </cell>
          <cell r="E156">
            <v>596211.07925996918</v>
          </cell>
        </row>
        <row r="157">
          <cell r="A157">
            <v>8323</v>
          </cell>
          <cell r="B157" t="str">
            <v>CENTRO RADIOLOGIA GATTA SAS</v>
          </cell>
          <cell r="C157">
            <v>8705.2799999999988</v>
          </cell>
          <cell r="D157">
            <v>618303.6290616612</v>
          </cell>
          <cell r="E157">
            <v>547726.94591998379</v>
          </cell>
        </row>
        <row r="158">
          <cell r="A158">
            <v>8325</v>
          </cell>
          <cell r="B158" t="str">
            <v>CENTRO SALUS</v>
          </cell>
          <cell r="C158">
            <v>4576.53</v>
          </cell>
          <cell r="D158">
            <v>211568.32341694229</v>
          </cell>
          <cell r="E158">
            <v>187418.715</v>
          </cell>
        </row>
        <row r="159">
          <cell r="A159">
            <v>8420</v>
          </cell>
          <cell r="B159" t="str">
            <v>CENTRO RADIODIAGNOSTICO GARGIULO SAS</v>
          </cell>
          <cell r="C159">
            <v>4105.95</v>
          </cell>
          <cell r="D159">
            <v>189820.48702033906</v>
          </cell>
          <cell r="E159">
            <v>168153.3</v>
          </cell>
        </row>
        <row r="160">
          <cell r="A160">
            <v>8425</v>
          </cell>
          <cell r="B160" t="str">
            <v>C.M.O. SRL</v>
          </cell>
          <cell r="C160">
            <v>62863.68</v>
          </cell>
          <cell r="D160">
            <v>4465182.7216620333</v>
          </cell>
          <cell r="E160">
            <v>3955501.44</v>
          </cell>
        </row>
        <row r="161">
          <cell r="A161">
            <v>8430</v>
          </cell>
          <cell r="B161" t="str">
            <v>MAVIS  SRL ( EX EPISTOLATO VINCENZO E C. SAS)</v>
          </cell>
          <cell r="C161">
            <v>18889.23</v>
          </cell>
          <cell r="D161">
            <v>873263.68615105702</v>
          </cell>
          <cell r="E161">
            <v>773584.41599999985</v>
          </cell>
        </row>
        <row r="162">
          <cell r="A162">
            <v>8436</v>
          </cell>
          <cell r="B162" t="str">
            <v>STUDIO  DI RADIOLOGIA BARON SAS</v>
          </cell>
          <cell r="C162">
            <v>9802.1999999999989</v>
          </cell>
          <cell r="D162">
            <v>453166.4095549148</v>
          </cell>
          <cell r="E162">
            <v>401439.42527997814</v>
          </cell>
        </row>
        <row r="163">
          <cell r="A163">
            <v>8513</v>
          </cell>
          <cell r="B163" t="str">
            <v>CENTRO MEDICO  ASCIONE SRL PUNTO PRELIEVO RETE KAPPA-CMA</v>
          </cell>
          <cell r="C163">
            <v>10971.84</v>
          </cell>
          <cell r="D163">
            <v>779312.22068483359</v>
          </cell>
          <cell r="E163">
            <v>690357.10367997224</v>
          </cell>
        </row>
        <row r="164">
          <cell r="A164">
            <v>8521</v>
          </cell>
          <cell r="B164" t="str">
            <v>DO.CA SRL</v>
          </cell>
          <cell r="C164">
            <v>11851.199999999999</v>
          </cell>
          <cell r="D164">
            <v>841823.28436635551</v>
          </cell>
          <cell r="E164">
            <v>745732.79999999993</v>
          </cell>
        </row>
        <row r="165">
          <cell r="A165">
            <v>8613</v>
          </cell>
          <cell r="B165" t="str">
            <v>STUDIO VOCCIA DI MARTINO SRL PUNTO PRELIEVO MLF ANALISI</v>
          </cell>
          <cell r="C165">
            <v>1169.01</v>
          </cell>
          <cell r="D165">
            <v>50907.500891008574</v>
          </cell>
          <cell r="E165">
            <v>45096.63</v>
          </cell>
        </row>
        <row r="166">
          <cell r="A166">
            <v>8620</v>
          </cell>
          <cell r="B166" t="str">
            <v>RAGGI X DI LOFFREDO S.A.S</v>
          </cell>
          <cell r="C166">
            <v>8188.7999999999993</v>
          </cell>
          <cell r="D166">
            <v>581621.68106285238</v>
          </cell>
          <cell r="E166">
            <v>515232.08351997758</v>
          </cell>
        </row>
        <row r="167">
          <cell r="A167">
            <v>8621</v>
          </cell>
          <cell r="B167" t="str">
            <v>CASA DI CURA MARIA ROSARIA AMBULATORIO</v>
          </cell>
          <cell r="C167">
            <v>32448.959999999999</v>
          </cell>
          <cell r="D167">
            <v>2304877.2683042702</v>
          </cell>
          <cell r="E167">
            <v>2041785.5039999997</v>
          </cell>
        </row>
        <row r="168">
          <cell r="A168">
            <v>150102</v>
          </cell>
          <cell r="B168" t="str">
            <v>CASA DI CURA S.MARIA LA BRUNA</v>
          </cell>
          <cell r="C168">
            <v>671.45999999999992</v>
          </cell>
          <cell r="D168">
            <v>20649.185107035279</v>
          </cell>
          <cell r="E168">
            <v>18292.169999999998</v>
          </cell>
        </row>
        <row r="169">
          <cell r="A169">
            <v>150105</v>
          </cell>
          <cell r="B169" t="str">
            <v>CLINICA STABIA</v>
          </cell>
          <cell r="C169">
            <v>3324.75</v>
          </cell>
          <cell r="D169">
            <v>144766.7555755818</v>
          </cell>
          <cell r="E169">
            <v>128242.25699999998</v>
          </cell>
        </row>
        <row r="170">
          <cell r="A170">
            <v>150111</v>
          </cell>
          <cell r="B170" t="str">
            <v>STAZIONE CLIMATICA BIANCHI SRL</v>
          </cell>
          <cell r="C170">
            <v>4967.04</v>
          </cell>
          <cell r="D170">
            <v>352777.82143918239</v>
          </cell>
          <cell r="E170">
            <v>312509.76</v>
          </cell>
        </row>
        <row r="171">
          <cell r="A171">
            <v>700500</v>
          </cell>
          <cell r="B171" t="str">
            <v>STUDIO DI RADIOLOGIA MEDICA ALTEI   S.A.S.  DI  PASQUALE GUERCIA</v>
          </cell>
          <cell r="C171">
            <v>10042.14</v>
          </cell>
          <cell r="D171">
            <v>464252.34593053057</v>
          </cell>
          <cell r="E171">
            <v>411259.94999999995</v>
          </cell>
        </row>
        <row r="172">
          <cell r="A172">
            <v>700600</v>
          </cell>
          <cell r="B172" t="str">
            <v>ALMA CENTER U.O. RADIOLOGIA  SRL</v>
          </cell>
          <cell r="C172">
            <v>18992.64</v>
          </cell>
          <cell r="D172">
            <v>1349063.5372581105</v>
          </cell>
          <cell r="E172">
            <v>1195073.7734400479</v>
          </cell>
        </row>
        <row r="173">
          <cell r="A173">
            <v>710400</v>
          </cell>
          <cell r="B173" t="str">
            <v>C.T.A. DIAGNOSTICA PER IMMAGINI CLINICA MELUCCIO EX SAN FELICE  S.R.L.</v>
          </cell>
          <cell r="C173">
            <v>3959.9399999999996</v>
          </cell>
          <cell r="D173">
            <v>121737.70175538684</v>
          </cell>
          <cell r="E173">
            <v>107841.87</v>
          </cell>
        </row>
        <row r="174">
          <cell r="A174">
            <v>710600</v>
          </cell>
          <cell r="B174" t="str">
            <v>C.T.A.  DIAGNOSTICA PER IMMAGINI CASA DI CURA ' MELUCCIO '  SRL</v>
          </cell>
          <cell r="C174">
            <v>8239.7999999999993</v>
          </cell>
          <cell r="D174">
            <v>358775.52312795626</v>
          </cell>
          <cell r="E174">
            <v>317822.84999999998</v>
          </cell>
        </row>
        <row r="175">
          <cell r="A175">
            <v>730300</v>
          </cell>
          <cell r="B175" t="str">
            <v>CENTRO DIAGNOSTICA RADIOLOGICA E STRUMENTALE  DR. L. VITOLO   SRL</v>
          </cell>
          <cell r="C175">
            <v>8074.2599999999993</v>
          </cell>
          <cell r="D175">
            <v>248192.20272615826</v>
          </cell>
          <cell r="E175">
            <v>219862.13699999999</v>
          </cell>
        </row>
        <row r="176">
          <cell r="A176">
            <v>730400</v>
          </cell>
          <cell r="B176" t="str">
            <v>DIAGNOSTICA PER IMMAGINI.GUADAGNO SRL</v>
          </cell>
          <cell r="C176">
            <v>7478.1299999999992</v>
          </cell>
          <cell r="D176">
            <v>229883.90809522627</v>
          </cell>
          <cell r="E176">
            <v>203643.65495999964</v>
          </cell>
        </row>
        <row r="177">
          <cell r="A177">
            <v>731600</v>
          </cell>
          <cell r="B177" t="str">
            <v>ALPHA   S.R.L.</v>
          </cell>
          <cell r="C177">
            <v>19749.12</v>
          </cell>
          <cell r="D177">
            <v>1402785.0720153837</v>
          </cell>
          <cell r="E177">
            <v>1242663.2275200612</v>
          </cell>
        </row>
        <row r="178">
          <cell r="A178">
            <v>750100</v>
          </cell>
          <cell r="B178" t="str">
            <v>CASA DI CURA 'N.S.LOURDES' SPA</v>
          </cell>
          <cell r="C178">
            <v>4167.33</v>
          </cell>
          <cell r="D178">
            <v>181439.58444526215</v>
          </cell>
          <cell r="E178">
            <v>160729.04117999878</v>
          </cell>
        </row>
        <row r="179">
          <cell r="A179">
            <v>760300</v>
          </cell>
          <cell r="B179" t="str">
            <v>RADIOLOGIA MEDICA APRILE S.A.S</v>
          </cell>
          <cell r="C179">
            <v>7334.91</v>
          </cell>
          <cell r="D179">
            <v>319376.0727210436</v>
          </cell>
          <cell r="E179">
            <v>282920.67632999551</v>
          </cell>
        </row>
        <row r="180">
          <cell r="A180">
            <v>770100</v>
          </cell>
          <cell r="B180" t="str">
            <v>CASA DI CURA  ' S.LUCIA '  SRL</v>
          </cell>
          <cell r="C180">
            <v>6305.28</v>
          </cell>
          <cell r="D180">
            <v>447873.65528263152</v>
          </cell>
          <cell r="E180">
            <v>396750.81599999999</v>
          </cell>
        </row>
        <row r="181">
          <cell r="A181">
            <v>770200</v>
          </cell>
          <cell r="B181" t="str">
            <v>CARDIOMED S.p.A. CASA DI CURA TRUSSO</v>
          </cell>
          <cell r="C181">
            <v>2324.0699999999997</v>
          </cell>
          <cell r="D181">
            <v>101193.5000491703</v>
          </cell>
          <cell r="E181">
            <v>89642.7</v>
          </cell>
        </row>
        <row r="182">
          <cell r="A182">
            <v>770500</v>
          </cell>
          <cell r="B182" t="str">
            <v>RADIOL.P.CO AMBROSIO DR.MADARO E C. SAS</v>
          </cell>
          <cell r="C182">
            <v>5580.9299999999994</v>
          </cell>
          <cell r="D182">
            <v>242997.50752206935</v>
          </cell>
          <cell r="E182">
            <v>215260.393769997</v>
          </cell>
        </row>
        <row r="183">
          <cell r="A183" t="str">
            <v>76020A</v>
          </cell>
          <cell r="B183" t="str">
            <v>CEM  S.P.A.</v>
          </cell>
          <cell r="C183">
            <v>16356.48</v>
          </cell>
          <cell r="D183">
            <v>1161804.0204648625</v>
          </cell>
          <cell r="E183">
            <v>1029189.12</v>
          </cell>
        </row>
        <row r="184">
          <cell r="A184" t="str">
            <v>RAD351</v>
          </cell>
          <cell r="B184" t="str">
            <v>RADAN DI FRANCESCO PANE SAS</v>
          </cell>
          <cell r="C184">
            <v>1507.53</v>
          </cell>
          <cell r="D184">
            <v>65621.673047400735</v>
          </cell>
          <cell r="E184">
            <v>58131.243089999836</v>
          </cell>
        </row>
        <row r="185">
          <cell r="A185" t="str">
            <v>RAD434</v>
          </cell>
          <cell r="B185" t="str">
            <v>RADAN DI FRANCESCO PANE SAS</v>
          </cell>
          <cell r="C185">
            <v>13065.6</v>
          </cell>
          <cell r="D185">
            <v>928072.16295893257</v>
          </cell>
          <cell r="E185">
            <v>822136.74239999603</v>
          </cell>
        </row>
        <row r="186">
          <cell r="B186" t="str">
            <v>ASL Napoli 3 Sud Totale</v>
          </cell>
          <cell r="C186">
            <v>422453.64000000007</v>
          </cell>
          <cell r="D186">
            <v>26105865.404982116</v>
          </cell>
          <cell r="E186">
            <v>23125993.859309919</v>
          </cell>
        </row>
        <row r="187">
          <cell r="B187" t="str">
            <v>ASL Salerno</v>
          </cell>
        </row>
        <row r="188">
          <cell r="A188">
            <v>300</v>
          </cell>
          <cell r="B188" t="str">
            <v>CASA DI CURA TORTORELLA SPA</v>
          </cell>
          <cell r="C188">
            <v>15082.56</v>
          </cell>
          <cell r="D188">
            <v>1074039.1978199529</v>
          </cell>
          <cell r="E188">
            <v>951442.27199999988</v>
          </cell>
        </row>
        <row r="189">
          <cell r="A189">
            <v>3900</v>
          </cell>
          <cell r="B189" t="str">
            <v>DOTT.RI ARMANDO &amp; PIEPAOLO CAVALLO DIAGNOSTICA MEDICA SRL</v>
          </cell>
          <cell r="C189">
            <v>3486.5699999999997</v>
          </cell>
          <cell r="D189">
            <v>178638.26406925198</v>
          </cell>
          <cell r="E189">
            <v>158247.47940035339</v>
          </cell>
        </row>
        <row r="190">
          <cell r="A190">
            <v>4500</v>
          </cell>
          <cell r="B190" t="str">
            <v>CENTRO DI DIAGNOSTICA PER IMMAGINI E TERAPIA FISICA - CE.D.I.TO. S.R.L.</v>
          </cell>
          <cell r="C190">
            <v>5288.91</v>
          </cell>
          <cell r="D190">
            <v>270967.34369321703</v>
          </cell>
          <cell r="E190">
            <v>240037.59420007438</v>
          </cell>
        </row>
        <row r="191">
          <cell r="A191">
            <v>5500</v>
          </cell>
          <cell r="B191" t="str">
            <v>DI.SA.R.' - S.R.L.</v>
          </cell>
          <cell r="C191">
            <v>19286.399999999998</v>
          </cell>
          <cell r="D191">
            <v>1373356.9790591472</v>
          </cell>
          <cell r="E191">
            <v>1216594.2240053474</v>
          </cell>
        </row>
        <row r="192">
          <cell r="A192">
            <v>6000</v>
          </cell>
          <cell r="B192" t="str">
            <v>CENTRO STUDI DOTT.GARGIULO - S.R.L.</v>
          </cell>
          <cell r="C192">
            <v>7634.88</v>
          </cell>
          <cell r="D192">
            <v>543676.71149897669</v>
          </cell>
          <cell r="E192">
            <v>481618.36799999996</v>
          </cell>
        </row>
        <row r="193">
          <cell r="A193">
            <v>10900</v>
          </cell>
          <cell r="B193" t="str">
            <v>CENTRO RADIOLOGICO VERRENGIA - S.R.L.</v>
          </cell>
          <cell r="C193">
            <v>19211.52</v>
          </cell>
          <cell r="D193">
            <v>1368042.9495919712</v>
          </cell>
          <cell r="E193">
            <v>1211886.7680018912</v>
          </cell>
        </row>
        <row r="194">
          <cell r="A194">
            <v>11500</v>
          </cell>
          <cell r="B194" t="str">
            <v>STUDIO DI DIAGNOSTICA PER IMMAGINI E TERAPIA RADIOLOGICA E FISICA DOTT. C. SALERNO &amp; C. S.R.L.</v>
          </cell>
          <cell r="C194">
            <v>18231.36</v>
          </cell>
          <cell r="D194">
            <v>1298254.0269258064</v>
          </cell>
          <cell r="E194">
            <v>1150063.948800595</v>
          </cell>
        </row>
        <row r="195">
          <cell r="A195">
            <v>13200</v>
          </cell>
          <cell r="B195" t="str">
            <v>CE.DI.SA. - CENTRO DIAGNOSTICO SALERNITANO - S.P.A.</v>
          </cell>
          <cell r="C195">
            <v>10965.119999999999</v>
          </cell>
          <cell r="D195">
            <v>780848.9251708393</v>
          </cell>
          <cell r="E195">
            <v>691718.4</v>
          </cell>
        </row>
        <row r="196">
          <cell r="A196">
            <v>13500</v>
          </cell>
          <cell r="B196" t="str">
            <v>CENTRO SALERNITANO DI TOMOGRAFIA COMPUTERIZZATA - CE.SA.T. - S.R.L.</v>
          </cell>
          <cell r="C196">
            <v>4316.16</v>
          </cell>
          <cell r="D196">
            <v>307352.38441086188</v>
          </cell>
          <cell r="E196">
            <v>272269.44</v>
          </cell>
        </row>
        <row r="197">
          <cell r="A197">
            <v>13601</v>
          </cell>
          <cell r="B197" t="str">
            <v>CHECK UP - S.R.L.</v>
          </cell>
          <cell r="C197">
            <v>32504.639999999999</v>
          </cell>
          <cell r="D197">
            <v>2314636.7419843031</v>
          </cell>
          <cell r="E197">
            <v>2050430.976</v>
          </cell>
        </row>
        <row r="198">
          <cell r="A198">
            <v>13602</v>
          </cell>
          <cell r="B198" t="str">
            <v>'CARDIOLOGIA MEDICA SALERNITANA - S.R.L.'</v>
          </cell>
          <cell r="C198">
            <v>8994.24</v>
          </cell>
          <cell r="D198">
            <v>640482.2982350369</v>
          </cell>
          <cell r="E198">
            <v>567374.01599999995</v>
          </cell>
        </row>
        <row r="199">
          <cell r="A199">
            <v>20500</v>
          </cell>
          <cell r="B199" t="str">
            <v>Ce.Di.P. Centro Diagnostico Polispecialistico Sant'Alfonso</v>
          </cell>
          <cell r="C199">
            <v>3457.6462722134966</v>
          </cell>
          <cell r="D199">
            <v>177135.21852549742</v>
          </cell>
          <cell r="E199">
            <v>156916</v>
          </cell>
        </row>
        <row r="200">
          <cell r="A200">
            <v>40107</v>
          </cell>
          <cell r="B200" t="str">
            <v>"C.R.T.F. - CENTRO DI RADIOLOGIA E TERAPIA FISICA -" - S.R.L. -</v>
          </cell>
          <cell r="C200">
            <v>16352.64</v>
          </cell>
          <cell r="D200">
            <v>1164458.8677972569</v>
          </cell>
          <cell r="E200">
            <v>1031540.928</v>
          </cell>
        </row>
        <row r="201">
          <cell r="A201">
            <v>50104</v>
          </cell>
          <cell r="B201" t="str">
            <v>'CENTRO RADIOLOGICO SAN PIETRO' DEL DOTTOR DE FELICE NICOLA &amp; C. - S.A.S.</v>
          </cell>
          <cell r="C201">
            <v>13993.92</v>
          </cell>
          <cell r="D201">
            <v>996501.03176184231</v>
          </cell>
          <cell r="E201">
            <v>882754.75199999998</v>
          </cell>
        </row>
        <row r="202">
          <cell r="A202">
            <v>50106</v>
          </cell>
          <cell r="B202" t="str">
            <v>DOTT.ANTONIO SERAFINO &amp; C. - S.R.L.</v>
          </cell>
          <cell r="C202">
            <v>13740.749999999998</v>
          </cell>
          <cell r="D202">
            <v>703955.23392283975</v>
          </cell>
          <cell r="E202">
            <v>623601.79079992557</v>
          </cell>
        </row>
        <row r="203">
          <cell r="A203">
            <v>60106</v>
          </cell>
          <cell r="B203" t="str">
            <v>DIAGNOSTICA PER IMMAGINI DELLA CASA DI ANTONIO DELLA CASA &amp; C. S.A.S.</v>
          </cell>
          <cell r="C203">
            <v>3772.08</v>
          </cell>
          <cell r="D203">
            <v>193222.99904087395</v>
          </cell>
          <cell r="E203">
            <v>171167.43</v>
          </cell>
        </row>
        <row r="204">
          <cell r="A204">
            <v>70105</v>
          </cell>
          <cell r="B204" t="str">
            <v>CENTRO DIAGNOSTICO SARNESE DEL DOTT. ALBERTO PARZIALE S.R.L.</v>
          </cell>
          <cell r="C204">
            <v>7189.44</v>
          </cell>
          <cell r="D204">
            <v>511985.21651200723</v>
          </cell>
          <cell r="E204">
            <v>453544.32</v>
          </cell>
        </row>
        <row r="205">
          <cell r="A205">
            <v>80107</v>
          </cell>
          <cell r="B205" t="str">
            <v>'CENTRO DI DIAGNOSI E RIABILITAZIONE PADRE PIO' S.R.L.</v>
          </cell>
          <cell r="C205">
            <v>11526.72</v>
          </cell>
          <cell r="D205">
            <v>820825.73724291322</v>
          </cell>
          <cell r="E205">
            <v>727132.03199999989</v>
          </cell>
        </row>
        <row r="206">
          <cell r="A206">
            <v>103100</v>
          </cell>
          <cell r="B206" t="str">
            <v>'AMBULATORIO DIAGNOSTICO PER IMMAGINI' DI A.FENZA &amp; C. - S.A.S.</v>
          </cell>
          <cell r="C206">
            <v>18703.68</v>
          </cell>
          <cell r="D206">
            <v>1331882.9600971672</v>
          </cell>
          <cell r="E206">
            <v>1179854.2848017761</v>
          </cell>
        </row>
        <row r="207">
          <cell r="A207">
            <v>109400</v>
          </cell>
          <cell r="B207" t="str">
            <v>CENTRO DIAGNOSTICO SALUS S.R.L. DEL DOTT. TENORE</v>
          </cell>
          <cell r="C207">
            <v>6827.5199999999995</v>
          </cell>
          <cell r="D207">
            <v>486178.91487433226</v>
          </cell>
          <cell r="E207">
            <v>430683.69600051839</v>
          </cell>
        </row>
        <row r="208">
          <cell r="A208">
            <v>201300</v>
          </cell>
          <cell r="B208" t="str">
            <v>CENTRO DI DIAGNOSTICA STRUMENTALE E TERAPIA DI GAETA S.A.S. DI DI GAETA ENRICO &amp; C.</v>
          </cell>
          <cell r="C208">
            <v>1646.1</v>
          </cell>
          <cell r="D208">
            <v>63185.309616758619</v>
          </cell>
          <cell r="E208">
            <v>55972.979999999996</v>
          </cell>
        </row>
        <row r="209">
          <cell r="A209">
            <v>307300</v>
          </cell>
          <cell r="B209" t="str">
            <v>'LABORATORIO SALUS' S.A.S. DI LUCIO PAPPACENA &amp; C.</v>
          </cell>
          <cell r="C209">
            <v>3137.8199999999997</v>
          </cell>
          <cell r="D209">
            <v>160734.62585701371</v>
          </cell>
          <cell r="E209">
            <v>142387.46400026968</v>
          </cell>
        </row>
        <row r="210">
          <cell r="A210">
            <v>372000</v>
          </cell>
          <cell r="B210" t="str">
            <v>'STUDIO DI DIAGNOSTICA PER IMMAGINI E TERAPIA FISICA' DI DELL'ANGELO MARIA &amp; C. S.A.S.</v>
          </cell>
          <cell r="C210">
            <v>10156.529999999999</v>
          </cell>
          <cell r="D210">
            <v>520319.78097177949</v>
          </cell>
          <cell r="E210">
            <v>460927.52999999997</v>
          </cell>
        </row>
        <row r="211">
          <cell r="A211">
            <v>560401</v>
          </cell>
          <cell r="B211" t="str">
            <v>SIANOMED S.r.l.</v>
          </cell>
          <cell r="C211">
            <v>3662.3399999999997</v>
          </cell>
          <cell r="D211">
            <v>107531.3479565968</v>
          </cell>
          <cell r="E211">
            <v>95257.11</v>
          </cell>
        </row>
        <row r="212">
          <cell r="A212">
            <v>570242</v>
          </cell>
          <cell r="B212" t="str">
            <v>ISTITUTO DI RADIOLOGIA E MEDICINA NUCLEARE - S.R.L.</v>
          </cell>
          <cell r="C212">
            <v>4376.5868696661701</v>
          </cell>
          <cell r="D212">
            <v>167973.40405778761</v>
          </cell>
          <cell r="E212">
            <v>148799.967</v>
          </cell>
        </row>
        <row r="213">
          <cell r="A213">
            <v>571100</v>
          </cell>
          <cell r="B213" t="str">
            <v>MEDICANOVA - S.R.L.</v>
          </cell>
          <cell r="C213">
            <v>27815.039999999997</v>
          </cell>
          <cell r="D213">
            <v>1980687.031072235</v>
          </cell>
          <cell r="E213">
            <v>1754600.1792014786</v>
          </cell>
        </row>
        <row r="214">
          <cell r="A214">
            <v>571400</v>
          </cell>
          <cell r="B214" t="str">
            <v>STUDIO DI RADIOLOGIA 'DOTT.MATTIA CARBONE' DEL DOTT.EMIDDIO CARBONE &amp; C. - S.A.S.</v>
          </cell>
          <cell r="C214">
            <v>4513.29</v>
          </cell>
          <cell r="D214">
            <v>231199.69445304002</v>
          </cell>
          <cell r="E214">
            <v>204809.25</v>
          </cell>
        </row>
        <row r="215">
          <cell r="A215">
            <v>571500</v>
          </cell>
          <cell r="B215" t="str">
            <v>STUDIO RAGGI X DIAGNOSTICA MEDICA DR F. DI COSTANZO &amp; C. S.R.L. ( IN BREVE, 'DIAGNOSTICA MEDICA DI C</v>
          </cell>
          <cell r="C215">
            <v>8156.16</v>
          </cell>
          <cell r="D215">
            <v>580823.98385969363</v>
          </cell>
          <cell r="E215">
            <v>514525.44</v>
          </cell>
        </row>
        <row r="216">
          <cell r="A216">
            <v>580501</v>
          </cell>
          <cell r="B216" t="str">
            <v>DIAGNOSTICA RADIOLOGICA BARBARA STACCIOLI DI LEOPOLDO DI LUCIA S.A.S.</v>
          </cell>
          <cell r="C216">
            <v>5599.53</v>
          </cell>
          <cell r="D216">
            <v>286849.15908056742</v>
          </cell>
          <cell r="E216">
            <v>254106.5690999628</v>
          </cell>
        </row>
        <row r="217">
          <cell r="A217">
            <v>601001</v>
          </cell>
          <cell r="B217" t="str">
            <v>ICM ISTITUTO CLINICO MEDITERRANEO S.P.A.</v>
          </cell>
          <cell r="C217">
            <v>3535.8599999999997</v>
          </cell>
          <cell r="D217">
            <v>135706.79306832657</v>
          </cell>
          <cell r="E217">
            <v>120216.45</v>
          </cell>
        </row>
        <row r="218">
          <cell r="A218">
            <v>601300</v>
          </cell>
          <cell r="B218" t="str">
            <v>CENTRO DIAGNOSTICO GIOVINE - S.R.L. - ("C.D.G. - S.R.L.")</v>
          </cell>
          <cell r="C218">
            <v>1411.7778225784527</v>
          </cell>
          <cell r="D218">
            <v>54184.032830561024</v>
          </cell>
          <cell r="E218">
            <v>47999.159999999996</v>
          </cell>
        </row>
        <row r="219">
          <cell r="A219">
            <v>601400</v>
          </cell>
          <cell r="B219" t="str">
            <v>STUDIO DI RADIOLOGIA FELICE MAFFIA DI MAFFIA GABRIELLA &amp; C. S.N.C.</v>
          </cell>
          <cell r="C219">
            <v>7681.7999999999993</v>
          </cell>
          <cell r="D219">
            <v>294835.38285931101</v>
          </cell>
          <cell r="E219">
            <v>261181.19999999998</v>
          </cell>
        </row>
        <row r="220">
          <cell r="A220">
            <v>602200</v>
          </cell>
          <cell r="B220" t="str">
            <v>CAMPOLONGO HOSPITAL SPA</v>
          </cell>
          <cell r="C220">
            <v>3949.44</v>
          </cell>
          <cell r="D220">
            <v>281224.38654000266</v>
          </cell>
          <cell r="E220">
            <v>249123.84</v>
          </cell>
        </row>
        <row r="221">
          <cell r="A221">
            <v>610901</v>
          </cell>
          <cell r="B221" t="str">
            <v>FUTURA S.R.L.</v>
          </cell>
          <cell r="C221">
            <v>5747.5199999999995</v>
          </cell>
          <cell r="D221">
            <v>409256.99460531975</v>
          </cell>
          <cell r="E221">
            <v>362542.07999999996</v>
          </cell>
        </row>
        <row r="222">
          <cell r="A222">
            <v>630301</v>
          </cell>
          <cell r="B222" t="str">
            <v>STUDIO DI RADIODIAGNOSTICA E TERAPIA FISICA DI NATELLA RAFFAELE S.R.L.</v>
          </cell>
          <cell r="C222">
            <v>2731.1237570731341</v>
          </cell>
          <cell r="D222">
            <v>104820.5297964669</v>
          </cell>
          <cell r="E222">
            <v>92855.72</v>
          </cell>
        </row>
        <row r="223">
          <cell r="A223">
            <v>750000</v>
          </cell>
          <cell r="B223" t="str">
            <v>DIAGNOST '80 S.A.S. DI MARIANNA PAGANO &amp; C.</v>
          </cell>
          <cell r="C223">
            <v>22035.84</v>
          </cell>
          <cell r="D223">
            <v>1569149.8024179612</v>
          </cell>
          <cell r="E223">
            <v>1390038.1439999999</v>
          </cell>
        </row>
        <row r="224">
          <cell r="A224" t="str">
            <v>LAB034</v>
          </cell>
          <cell r="B224" t="str">
            <v>ISTITUTO POLIDIAGNOSTICO  D'AGOSTO &amp; MARINO S.P.A.</v>
          </cell>
          <cell r="C224">
            <v>24848.639999999999</v>
          </cell>
          <cell r="D224">
            <v>1769444.9317207299</v>
          </cell>
          <cell r="E224">
            <v>1567470.4512017954</v>
          </cell>
        </row>
        <row r="225">
          <cell r="A225" t="str">
            <v>LAB035</v>
          </cell>
          <cell r="B225" t="str">
            <v>DELLA PORTA V. &amp; C. S.A.S. DI ANNA DELLA PORTA</v>
          </cell>
          <cell r="C225">
            <v>7274.88</v>
          </cell>
          <cell r="D225">
            <v>518026.95027102123</v>
          </cell>
          <cell r="E225">
            <v>458896.41599999997</v>
          </cell>
        </row>
        <row r="226">
          <cell r="A226" t="str">
            <v>RAD317</v>
          </cell>
          <cell r="B226" t="str">
            <v>POLIDIAGNOSTICA ALFATERNA S.R.L.</v>
          </cell>
          <cell r="C226">
            <v>11711.039999999999</v>
          </cell>
          <cell r="D226">
            <v>833911.08506088355</v>
          </cell>
          <cell r="E226">
            <v>738723.74399999995</v>
          </cell>
        </row>
        <row r="227">
          <cell r="A227" t="str">
            <v>RAD426</v>
          </cell>
          <cell r="B227" t="str">
            <v>MAGNETO S.R.L.</v>
          </cell>
          <cell r="C227">
            <v>5981.76</v>
          </cell>
          <cell r="D227">
            <v>425956.26392058341</v>
          </cell>
          <cell r="E227">
            <v>377335.2</v>
          </cell>
        </row>
        <row r="228">
          <cell r="B228" t="str">
            <v>ASL Salerno Totale</v>
          </cell>
          <cell r="C228">
            <v>406539.8347215312</v>
          </cell>
          <cell r="D228">
            <v>27032263.492250737</v>
          </cell>
          <cell r="E228">
            <v>23946647.614513986</v>
          </cell>
        </row>
        <row r="231">
          <cell r="C231" t="str">
            <v>NETTO</v>
          </cell>
          <cell r="D231" t="str">
            <v>NETTO</v>
          </cell>
          <cell r="E231" t="str">
            <v>NETTO</v>
          </cell>
        </row>
        <row r="232">
          <cell r="B232" t="str">
            <v>ASL</v>
          </cell>
          <cell r="C232" t="str">
            <v>Tetto di spesa definitivo 2024 (salvo modifche delle ASL)</v>
          </cell>
          <cell r="D232"/>
          <cell r="E232"/>
        </row>
        <row r="233">
          <cell r="B233" t="str">
            <v>ASL Avellino</v>
          </cell>
          <cell r="C233">
            <v>66953.483915249089</v>
          </cell>
          <cell r="D233">
            <v>4113713.0105556301</v>
          </cell>
          <cell r="E233">
            <v>3644150.4751999998</v>
          </cell>
        </row>
        <row r="234">
          <cell r="B234" t="str">
            <v>ASL Benevento</v>
          </cell>
          <cell r="C234">
            <v>114371.03999999998</v>
          </cell>
          <cell r="D234">
            <v>6135538.9675665172</v>
          </cell>
          <cell r="E234">
            <v>5435193.75</v>
          </cell>
        </row>
        <row r="235">
          <cell r="B235" t="str">
            <v xml:space="preserve">ASL Caserta </v>
          </cell>
          <cell r="C235">
            <v>373394.20318157168</v>
          </cell>
          <cell r="D235">
            <v>25837654.067264538</v>
          </cell>
          <cell r="E235">
            <v>22890076.076500002</v>
          </cell>
        </row>
        <row r="236">
          <cell r="B236" t="str">
            <v>ASL Napoli 1 Centro</v>
          </cell>
          <cell r="C236">
            <v>549481.09509702597</v>
          </cell>
          <cell r="D236">
            <v>29871400.109121375</v>
          </cell>
          <cell r="E236">
            <v>26461709.074800305</v>
          </cell>
        </row>
        <row r="237">
          <cell r="B237" t="str">
            <v>ASL Napoli 2 Nord</v>
          </cell>
          <cell r="C237">
            <v>616214.23655555514</v>
          </cell>
          <cell r="D237">
            <v>38271000.030558735</v>
          </cell>
          <cell r="E237">
            <v>33902531.020000003</v>
          </cell>
        </row>
        <row r="238">
          <cell r="B238" t="str">
            <v>ASL Napoli 3 Sud</v>
          </cell>
          <cell r="C238">
            <v>422453.64000000007</v>
          </cell>
          <cell r="D238">
            <v>26105865.404982116</v>
          </cell>
          <cell r="E238">
            <v>23125993.859309919</v>
          </cell>
        </row>
        <row r="239">
          <cell r="B239" t="str">
            <v>ASL Salerno</v>
          </cell>
          <cell r="C239">
            <v>406539.8347215312</v>
          </cell>
          <cell r="D239">
            <v>27032263.492250737</v>
          </cell>
          <cell r="E239">
            <v>23946647.614513986</v>
          </cell>
        </row>
        <row r="240">
          <cell r="B240" t="str">
            <v>TOTALE ASL</v>
          </cell>
          <cell r="C240">
            <v>2549407.5334709329</v>
          </cell>
          <cell r="D240">
            <v>157367435.08229965</v>
          </cell>
          <cell r="E240">
            <v>139406301.87032422</v>
          </cell>
        </row>
        <row r="241">
          <cell r="D241" t="str">
            <v>Utilizzo totale acc.ti centralizzati</v>
          </cell>
          <cell r="E241">
            <v>514999.96683910489</v>
          </cell>
        </row>
        <row r="242">
          <cell r="D242" t="str">
            <v>Limite provv.rio 2024 da All. 1.1 alla DGRC 800/23</v>
          </cell>
          <cell r="E242">
            <v>138891301.90348512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V107"/>
  <sheetViews>
    <sheetView tabSelected="1" zoomScaleNormal="100" workbookViewId="0">
      <pane xSplit="3" ySplit="5" topLeftCell="D6" activePane="bottomRight" state="frozen"/>
      <selection activeCell="B14" sqref="B14"/>
      <selection pane="topRight" activeCell="B14" sqref="B14"/>
      <selection pane="bottomLeft" activeCell="B14" sqref="B14"/>
      <selection pane="bottomRight" activeCell="F3" sqref="F3:F5"/>
    </sheetView>
  </sheetViews>
  <sheetFormatPr defaultColWidth="8.85546875" defaultRowHeight="15" x14ac:dyDescent="0.25"/>
  <cols>
    <col min="1" max="1" width="7.85546875" style="3" bestFit="1" customWidth="1"/>
    <col min="2" max="2" width="44.7109375" style="2" customWidth="1"/>
    <col min="3" max="3" width="4.7109375" style="1" customWidth="1"/>
    <col min="4" max="4" width="5.42578125" style="1" bestFit="1" customWidth="1"/>
    <col min="5" max="5" width="9.140625" style="1" bestFit="1" customWidth="1"/>
    <col min="6" max="6" width="10.140625" style="1" bestFit="1" customWidth="1"/>
    <col min="7" max="7" width="10.140625" style="1" customWidth="1"/>
    <col min="8" max="9" width="10.140625" style="1" bestFit="1" customWidth="1"/>
    <col min="10" max="10" width="8" style="1" customWidth="1"/>
    <col min="11" max="11" width="7.85546875" style="1" bestFit="1" customWidth="1"/>
    <col min="12" max="12" width="10.140625" style="1" bestFit="1" customWidth="1"/>
    <col min="13" max="13" width="11.5703125" style="1" bestFit="1" customWidth="1"/>
    <col min="14" max="14" width="12.42578125" style="1" bestFit="1" customWidth="1"/>
    <col min="15" max="15" width="13.7109375" style="1" customWidth="1"/>
    <col min="16" max="16" width="10.140625" style="1" bestFit="1" customWidth="1"/>
    <col min="17" max="17" width="8.7109375" style="1" customWidth="1"/>
    <col min="18" max="18" width="8" style="1" bestFit="1" customWidth="1"/>
    <col min="19" max="19" width="10.140625" style="1" bestFit="1" customWidth="1"/>
    <col min="20" max="20" width="8" style="1" customWidth="1"/>
    <col min="21" max="21" width="10" style="1" customWidth="1"/>
    <col min="22" max="22" width="4.28515625" style="1" customWidth="1"/>
    <col min="23" max="23" width="9.7109375" style="1" customWidth="1"/>
    <col min="24" max="24" width="8.140625" style="1" customWidth="1"/>
    <col min="25" max="26" width="10.7109375" style="1" customWidth="1"/>
    <col min="27" max="16384" width="8.85546875" style="1"/>
  </cols>
  <sheetData>
    <row r="1" spans="1:22" ht="31.9" customHeight="1" x14ac:dyDescent="0.35">
      <c r="A1" s="47" t="s">
        <v>47</v>
      </c>
      <c r="D1" s="46"/>
    </row>
    <row r="2" spans="1:22" ht="15.75" x14ac:dyDescent="0.25">
      <c r="A2" s="45">
        <v>1</v>
      </c>
      <c r="B2" s="45">
        <v>2</v>
      </c>
      <c r="C2" s="45">
        <v>3</v>
      </c>
      <c r="D2" s="45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45">
        <v>10</v>
      </c>
      <c r="K2" s="56">
        <v>11</v>
      </c>
      <c r="L2" s="56">
        <v>12</v>
      </c>
      <c r="M2" s="56">
        <v>13</v>
      </c>
      <c r="N2" s="56">
        <v>14</v>
      </c>
      <c r="O2" s="56">
        <v>15</v>
      </c>
      <c r="P2" s="56">
        <v>16</v>
      </c>
      <c r="Q2" s="56">
        <v>17</v>
      </c>
      <c r="R2" s="44">
        <v>18</v>
      </c>
      <c r="S2" s="44">
        <v>19</v>
      </c>
      <c r="T2" s="44">
        <v>20</v>
      </c>
      <c r="U2" s="44">
        <v>21</v>
      </c>
    </row>
    <row r="3" spans="1:22" ht="22.15" customHeight="1" x14ac:dyDescent="0.25">
      <c r="A3" s="40" t="s">
        <v>34</v>
      </c>
      <c r="B3" s="60" t="s">
        <v>173</v>
      </c>
      <c r="C3" s="159" t="s">
        <v>33</v>
      </c>
      <c r="D3" s="160" t="s">
        <v>38</v>
      </c>
      <c r="E3" s="161" t="s">
        <v>37</v>
      </c>
      <c r="F3" s="161" t="s">
        <v>30</v>
      </c>
      <c r="G3" s="162" t="s">
        <v>51</v>
      </c>
      <c r="H3" s="158" t="s">
        <v>36</v>
      </c>
      <c r="I3" s="139" t="s">
        <v>35</v>
      </c>
      <c r="J3" s="145" t="s">
        <v>50</v>
      </c>
      <c r="K3" s="154" t="s">
        <v>78</v>
      </c>
      <c r="L3" s="155"/>
      <c r="M3" s="156"/>
      <c r="N3" s="144" t="s">
        <v>27</v>
      </c>
      <c r="O3" s="144"/>
      <c r="P3" s="144"/>
      <c r="Q3" s="157" t="s">
        <v>44</v>
      </c>
      <c r="R3" s="148" t="s">
        <v>53</v>
      </c>
      <c r="S3" s="149"/>
      <c r="T3" s="149"/>
      <c r="U3" s="150"/>
      <c r="V3" s="35">
        <v>0.02</v>
      </c>
    </row>
    <row r="4" spans="1:22" ht="22.15" customHeight="1" x14ac:dyDescent="0.25">
      <c r="A4" s="40" t="s">
        <v>25</v>
      </c>
      <c r="B4" s="61" t="s">
        <v>24</v>
      </c>
      <c r="C4" s="159"/>
      <c r="D4" s="160"/>
      <c r="E4" s="146"/>
      <c r="F4" s="146"/>
      <c r="G4" s="163"/>
      <c r="H4" s="158"/>
      <c r="I4" s="140"/>
      <c r="J4" s="146"/>
      <c r="K4" s="142" t="s">
        <v>23</v>
      </c>
      <c r="L4" s="142" t="s">
        <v>22</v>
      </c>
      <c r="M4" s="142" t="s">
        <v>21</v>
      </c>
      <c r="N4" s="144" t="s">
        <v>86</v>
      </c>
      <c r="O4" s="144"/>
      <c r="P4" s="144"/>
      <c r="Q4" s="157"/>
      <c r="R4" s="151"/>
      <c r="S4" s="152"/>
      <c r="T4" s="152"/>
      <c r="U4" s="153"/>
      <c r="V4" s="35">
        <v>0</v>
      </c>
    </row>
    <row r="5" spans="1:22" ht="22.15" customHeight="1" x14ac:dyDescent="0.25">
      <c r="A5" s="62" t="s">
        <v>16</v>
      </c>
      <c r="B5" s="63" t="s">
        <v>15</v>
      </c>
      <c r="C5" s="159"/>
      <c r="D5" s="64" t="s">
        <v>14</v>
      </c>
      <c r="E5" s="147"/>
      <c r="F5" s="147"/>
      <c r="G5" s="164"/>
      <c r="H5" s="158"/>
      <c r="I5" s="141"/>
      <c r="J5" s="147"/>
      <c r="K5" s="143"/>
      <c r="L5" s="143"/>
      <c r="M5" s="143"/>
      <c r="N5" s="65" t="s">
        <v>13</v>
      </c>
      <c r="O5" s="65" t="s">
        <v>12</v>
      </c>
      <c r="P5" s="65" t="s">
        <v>11</v>
      </c>
      <c r="Q5" s="157"/>
      <c r="R5" s="66" t="s">
        <v>54</v>
      </c>
      <c r="S5" s="58" t="s">
        <v>55</v>
      </c>
      <c r="T5" s="58" t="s">
        <v>56</v>
      </c>
      <c r="U5" s="58" t="s">
        <v>57</v>
      </c>
      <c r="V5" s="35">
        <v>-0.02</v>
      </c>
    </row>
    <row r="6" spans="1:22" ht="14.45" customHeight="1" x14ac:dyDescent="0.25">
      <c r="A6" s="83">
        <v>440009</v>
      </c>
      <c r="B6" s="84" t="s">
        <v>87</v>
      </c>
      <c r="C6" s="85" t="s">
        <v>7</v>
      </c>
      <c r="D6" s="31">
        <v>35.68</v>
      </c>
      <c r="E6" s="90">
        <v>5019</v>
      </c>
      <c r="F6" s="29">
        <f t="shared" ref="F6:F53" si="0">E6*D6</f>
        <v>179077.92</v>
      </c>
      <c r="G6" s="29">
        <f>F6/F$54*G$54</f>
        <v>99636.348067435189</v>
      </c>
      <c r="H6" s="24">
        <v>58095</v>
      </c>
      <c r="I6" s="30">
        <v>33973.6850000001</v>
      </c>
      <c r="J6" s="28">
        <f t="shared" ref="J6:J54" si="1">G6/AVERAGE(H6,I6)</f>
        <v>2.1643916836095807</v>
      </c>
      <c r="K6" s="83">
        <v>480212</v>
      </c>
      <c r="L6" s="24">
        <v>4641</v>
      </c>
      <c r="M6" s="27">
        <v>1</v>
      </c>
      <c r="N6" s="26">
        <f>+L6</f>
        <v>4641</v>
      </c>
      <c r="O6" s="26"/>
      <c r="P6" s="26"/>
      <c r="Q6" s="26">
        <f t="shared" ref="Q6:Q53" si="2">(N6*V$3)+(O6*V$4)+(P6*V$5)</f>
        <v>92.820000000000007</v>
      </c>
      <c r="R6" s="83">
        <v>440009</v>
      </c>
      <c r="S6" s="25">
        <f>VLOOKUP(R6,$K$6:$Q$53,2,FALSE)</f>
        <v>58095</v>
      </c>
      <c r="T6" s="25">
        <f>VLOOKUP(R6,$K$6:$Q$53,7,FALSE)</f>
        <v>1161.9000000000001</v>
      </c>
      <c r="U6" s="59">
        <f>T6+S6</f>
        <v>59256.9</v>
      </c>
    </row>
    <row r="7" spans="1:22" ht="14.45" customHeight="1" x14ac:dyDescent="0.25">
      <c r="A7" s="83">
        <v>440011</v>
      </c>
      <c r="B7" s="86" t="s">
        <v>88</v>
      </c>
      <c r="C7" s="85" t="s">
        <v>9</v>
      </c>
      <c r="D7" s="31">
        <v>43.18</v>
      </c>
      <c r="E7" s="90">
        <v>15732</v>
      </c>
      <c r="F7" s="29">
        <f t="shared" si="0"/>
        <v>679307.76</v>
      </c>
      <c r="G7" s="29">
        <f t="shared" ref="G7:G53" si="3">F7/F$54*G$54</f>
        <v>377956.94980302278</v>
      </c>
      <c r="H7" s="24">
        <v>90383</v>
      </c>
      <c r="I7" s="30">
        <v>87014.770000000397</v>
      </c>
      <c r="J7" s="28">
        <f t="shared" si="1"/>
        <v>4.2611240243101358</v>
      </c>
      <c r="K7" s="83">
        <v>470145</v>
      </c>
      <c r="L7" s="24">
        <v>41859.441999999734</v>
      </c>
      <c r="M7" s="27">
        <v>2</v>
      </c>
      <c r="N7" s="26">
        <f t="shared" ref="N7:N33" si="4">+L7</f>
        <v>41859.441999999734</v>
      </c>
      <c r="O7" s="26"/>
      <c r="P7" s="26"/>
      <c r="Q7" s="26">
        <f t="shared" si="2"/>
        <v>837.18883999999468</v>
      </c>
      <c r="R7" s="83">
        <v>440011</v>
      </c>
      <c r="S7" s="25">
        <f t="shared" ref="S7:S53" si="5">VLOOKUP(R7,$K$6:$Q$53,2,FALSE)</f>
        <v>90383</v>
      </c>
      <c r="T7" s="25">
        <f t="shared" ref="T7:T53" si="6">VLOOKUP(R7,$K$6:$Q$53,7,FALSE)</f>
        <v>1807.66</v>
      </c>
      <c r="U7" s="59">
        <f t="shared" ref="U7:U53" si="7">T7+S7</f>
        <v>92190.66</v>
      </c>
    </row>
    <row r="8" spans="1:22" ht="14.45" customHeight="1" x14ac:dyDescent="0.25">
      <c r="A8" s="84">
        <v>440018</v>
      </c>
      <c r="B8" s="87" t="s">
        <v>89</v>
      </c>
      <c r="C8" s="85" t="s">
        <v>9</v>
      </c>
      <c r="D8" s="31">
        <v>43.18</v>
      </c>
      <c r="E8" s="90">
        <v>24299</v>
      </c>
      <c r="F8" s="29">
        <f t="shared" si="0"/>
        <v>1049230.82</v>
      </c>
      <c r="G8" s="29">
        <f t="shared" si="3"/>
        <v>583776.75586471218</v>
      </c>
      <c r="H8" s="24">
        <v>653110</v>
      </c>
      <c r="I8" s="30">
        <v>709616.71800004377</v>
      </c>
      <c r="J8" s="28">
        <f t="shared" si="1"/>
        <v>0.85677744210001394</v>
      </c>
      <c r="K8" s="83">
        <v>450070</v>
      </c>
      <c r="L8" s="24">
        <v>96303</v>
      </c>
      <c r="M8" s="27">
        <v>3</v>
      </c>
      <c r="N8" s="26">
        <f t="shared" si="4"/>
        <v>96303</v>
      </c>
      <c r="O8" s="26"/>
      <c r="P8" s="26"/>
      <c r="Q8" s="26">
        <f t="shared" si="2"/>
        <v>1926.06</v>
      </c>
      <c r="R8" s="84">
        <v>440018</v>
      </c>
      <c r="S8" s="25">
        <f t="shared" si="5"/>
        <v>709616.71800004377</v>
      </c>
      <c r="T8" s="25">
        <f t="shared" si="6"/>
        <v>0</v>
      </c>
      <c r="U8" s="59">
        <f t="shared" si="7"/>
        <v>709616.71800004377</v>
      </c>
    </row>
    <row r="9" spans="1:22" ht="14.45" customHeight="1" x14ac:dyDescent="0.25">
      <c r="A9" s="83">
        <v>440073</v>
      </c>
      <c r="B9" s="84" t="s">
        <v>90</v>
      </c>
      <c r="C9" s="85" t="s">
        <v>9</v>
      </c>
      <c r="D9" s="31">
        <v>43.18</v>
      </c>
      <c r="E9" s="90">
        <v>7297</v>
      </c>
      <c r="F9" s="29">
        <f t="shared" si="0"/>
        <v>315084.46000000002</v>
      </c>
      <c r="G9" s="29">
        <f t="shared" si="3"/>
        <v>175308.40724082492</v>
      </c>
      <c r="H9" s="24">
        <v>36254</v>
      </c>
      <c r="I9" s="30">
        <v>57984.860000000117</v>
      </c>
      <c r="J9" s="28">
        <f t="shared" si="1"/>
        <v>3.7205120529009945</v>
      </c>
      <c r="K9" s="83">
        <v>440011</v>
      </c>
      <c r="L9" s="24">
        <v>90383</v>
      </c>
      <c r="M9" s="27">
        <v>4</v>
      </c>
      <c r="N9" s="26">
        <f t="shared" si="4"/>
        <v>90383</v>
      </c>
      <c r="O9" s="26"/>
      <c r="P9" s="26"/>
      <c r="Q9" s="26">
        <f t="shared" si="2"/>
        <v>1807.66</v>
      </c>
      <c r="R9" s="83">
        <v>440073</v>
      </c>
      <c r="S9" s="25">
        <f t="shared" si="5"/>
        <v>39870.943000000108</v>
      </c>
      <c r="T9" s="25">
        <f t="shared" si="6"/>
        <v>797.41886000000216</v>
      </c>
      <c r="U9" s="59">
        <f t="shared" si="7"/>
        <v>40668.361860000114</v>
      </c>
    </row>
    <row r="10" spans="1:22" ht="14.45" customHeight="1" x14ac:dyDescent="0.25">
      <c r="A10" s="83">
        <v>440075</v>
      </c>
      <c r="B10" s="84" t="s">
        <v>91</v>
      </c>
      <c r="C10" s="85" t="s">
        <v>9</v>
      </c>
      <c r="D10" s="31">
        <v>43.18</v>
      </c>
      <c r="E10" s="90">
        <v>29697</v>
      </c>
      <c r="F10" s="29">
        <f t="shared" si="0"/>
        <v>1282316.46</v>
      </c>
      <c r="G10" s="29">
        <f t="shared" si="3"/>
        <v>713462.21321512631</v>
      </c>
      <c r="H10" s="24">
        <v>1108758</v>
      </c>
      <c r="I10" s="30">
        <v>1346826.8700002204</v>
      </c>
      <c r="J10" s="28">
        <f t="shared" si="1"/>
        <v>0.58109350805298154</v>
      </c>
      <c r="K10" s="83">
        <v>440073</v>
      </c>
      <c r="L10" s="24">
        <v>39870.943000000108</v>
      </c>
      <c r="M10" s="27">
        <v>5</v>
      </c>
      <c r="N10" s="26">
        <f t="shared" si="4"/>
        <v>39870.943000000108</v>
      </c>
      <c r="O10" s="26"/>
      <c r="P10" s="26"/>
      <c r="Q10" s="26">
        <f t="shared" si="2"/>
        <v>797.41886000000216</v>
      </c>
      <c r="R10" s="83">
        <v>440075</v>
      </c>
      <c r="S10" s="25">
        <f t="shared" si="5"/>
        <v>1219632.0750001185</v>
      </c>
      <c r="T10" s="25">
        <f t="shared" si="6"/>
        <v>-24392.64150000237</v>
      </c>
      <c r="U10" s="59">
        <f t="shared" si="7"/>
        <v>1195239.433500116</v>
      </c>
    </row>
    <row r="11" spans="1:22" ht="14.45" customHeight="1" x14ac:dyDescent="0.25">
      <c r="A11" s="83">
        <v>440076</v>
      </c>
      <c r="B11" s="84" t="s">
        <v>92</v>
      </c>
      <c r="C11" s="85" t="s">
        <v>6</v>
      </c>
      <c r="D11" s="31">
        <v>76.17</v>
      </c>
      <c r="E11" s="90">
        <v>14099</v>
      </c>
      <c r="F11" s="29">
        <f t="shared" si="0"/>
        <v>1073920.83</v>
      </c>
      <c r="G11" s="29">
        <f t="shared" si="3"/>
        <v>597513.9180461159</v>
      </c>
      <c r="H11" s="24">
        <v>352093</v>
      </c>
      <c r="I11" s="30">
        <v>387828.31300000346</v>
      </c>
      <c r="J11" s="28">
        <f t="shared" si="1"/>
        <v>1.6150742181584195</v>
      </c>
      <c r="K11" s="83">
        <v>500233</v>
      </c>
      <c r="L11" s="24">
        <v>171233.31899999524</v>
      </c>
      <c r="M11" s="27">
        <v>6</v>
      </c>
      <c r="N11" s="26">
        <f t="shared" si="4"/>
        <v>171233.31899999524</v>
      </c>
      <c r="O11" s="26"/>
      <c r="P11" s="26"/>
      <c r="Q11" s="26">
        <f t="shared" si="2"/>
        <v>3424.6663799999051</v>
      </c>
      <c r="R11" s="83">
        <v>440076</v>
      </c>
      <c r="S11" s="25">
        <f t="shared" si="5"/>
        <v>367484.06800000119</v>
      </c>
      <c r="T11" s="25">
        <f t="shared" si="6"/>
        <v>7349.6813600000241</v>
      </c>
      <c r="U11" s="59">
        <f t="shared" si="7"/>
        <v>374833.74936000124</v>
      </c>
    </row>
    <row r="12" spans="1:22" ht="14.45" customHeight="1" x14ac:dyDescent="0.25">
      <c r="A12" s="83">
        <v>440079</v>
      </c>
      <c r="B12" s="84" t="s">
        <v>89</v>
      </c>
      <c r="C12" s="85" t="s">
        <v>7</v>
      </c>
      <c r="D12" s="31">
        <v>35.68</v>
      </c>
      <c r="E12" s="90">
        <v>8334</v>
      </c>
      <c r="F12" s="29">
        <f t="shared" si="0"/>
        <v>297357.12</v>
      </c>
      <c r="G12" s="29">
        <f t="shared" si="3"/>
        <v>165445.17330025998</v>
      </c>
      <c r="H12" s="24">
        <v>203997</v>
      </c>
      <c r="I12" s="30">
        <v>205946.39799999792</v>
      </c>
      <c r="J12" s="28">
        <f t="shared" si="1"/>
        <v>0.807161057391932</v>
      </c>
      <c r="K12" s="83">
        <v>440009</v>
      </c>
      <c r="L12" s="24">
        <v>58095</v>
      </c>
      <c r="M12" s="27">
        <v>7</v>
      </c>
      <c r="N12" s="26">
        <f t="shared" si="4"/>
        <v>58095</v>
      </c>
      <c r="O12" s="26"/>
      <c r="P12" s="26"/>
      <c r="Q12" s="26">
        <f t="shared" si="2"/>
        <v>1161.9000000000001</v>
      </c>
      <c r="R12" s="83">
        <v>440079</v>
      </c>
      <c r="S12" s="25">
        <f t="shared" si="5"/>
        <v>205946.39799999792</v>
      </c>
      <c r="T12" s="25">
        <f t="shared" si="6"/>
        <v>0</v>
      </c>
      <c r="U12" s="59">
        <f t="shared" si="7"/>
        <v>205946.39799999792</v>
      </c>
    </row>
    <row r="13" spans="1:22" ht="14.45" customHeight="1" x14ac:dyDescent="0.25">
      <c r="A13" s="83">
        <v>450046</v>
      </c>
      <c r="B13" s="84" t="s">
        <v>93</v>
      </c>
      <c r="C13" s="85" t="s">
        <v>9</v>
      </c>
      <c r="D13" s="31">
        <v>43.18</v>
      </c>
      <c r="E13" s="90">
        <v>6357</v>
      </c>
      <c r="F13" s="29">
        <f t="shared" si="0"/>
        <v>274495.26</v>
      </c>
      <c r="G13" s="29">
        <f t="shared" si="3"/>
        <v>152725.16716868905</v>
      </c>
      <c r="H13" s="24">
        <v>167802</v>
      </c>
      <c r="I13" s="30">
        <v>175320.84399999821</v>
      </c>
      <c r="J13" s="28">
        <f t="shared" si="1"/>
        <v>0.89020693223614022</v>
      </c>
      <c r="K13" s="83">
        <v>500232</v>
      </c>
      <c r="L13" s="24">
        <v>67206.731000000407</v>
      </c>
      <c r="M13" s="27">
        <v>8</v>
      </c>
      <c r="N13" s="26">
        <f t="shared" si="4"/>
        <v>67206.731000000407</v>
      </c>
      <c r="O13" s="26"/>
      <c r="P13" s="26"/>
      <c r="Q13" s="26">
        <f t="shared" si="2"/>
        <v>1344.1346200000082</v>
      </c>
      <c r="R13" s="83">
        <v>450046</v>
      </c>
      <c r="S13" s="25">
        <f t="shared" si="5"/>
        <v>175320.84399999821</v>
      </c>
      <c r="T13" s="25">
        <f t="shared" si="6"/>
        <v>0</v>
      </c>
      <c r="U13" s="59">
        <f t="shared" si="7"/>
        <v>175320.84399999821</v>
      </c>
    </row>
    <row r="14" spans="1:22" ht="14.45" customHeight="1" x14ac:dyDescent="0.25">
      <c r="A14" s="83">
        <v>450069</v>
      </c>
      <c r="B14" s="84" t="s">
        <v>94</v>
      </c>
      <c r="C14" s="85" t="s">
        <v>9</v>
      </c>
      <c r="D14" s="31">
        <v>43.18</v>
      </c>
      <c r="E14" s="90">
        <v>10610</v>
      </c>
      <c r="F14" s="29">
        <f t="shared" si="0"/>
        <v>458139.8</v>
      </c>
      <c r="G14" s="29">
        <f t="shared" si="3"/>
        <v>254902.31613336329</v>
      </c>
      <c r="H14" s="24">
        <v>304570</v>
      </c>
      <c r="I14" s="30">
        <v>304087.11699999921</v>
      </c>
      <c r="J14" s="28">
        <f t="shared" si="1"/>
        <v>0.83758920749911692</v>
      </c>
      <c r="K14" s="83">
        <v>520316</v>
      </c>
      <c r="L14" s="24">
        <v>269687.10300000408</v>
      </c>
      <c r="M14" s="27">
        <v>9</v>
      </c>
      <c r="N14" s="26">
        <f t="shared" si="4"/>
        <v>269687.10300000408</v>
      </c>
      <c r="O14" s="26"/>
      <c r="P14" s="26"/>
      <c r="Q14" s="26">
        <f t="shared" si="2"/>
        <v>5393.7420600000814</v>
      </c>
      <c r="R14" s="83">
        <v>450069</v>
      </c>
      <c r="S14" s="25">
        <f t="shared" si="5"/>
        <v>304570</v>
      </c>
      <c r="T14" s="25">
        <f t="shared" si="6"/>
        <v>0</v>
      </c>
      <c r="U14" s="59">
        <f t="shared" si="7"/>
        <v>304570</v>
      </c>
    </row>
    <row r="15" spans="1:22" x14ac:dyDescent="0.25">
      <c r="A15" s="83">
        <v>450070</v>
      </c>
      <c r="B15" s="84" t="s">
        <v>95</v>
      </c>
      <c r="C15" s="85" t="s">
        <v>9</v>
      </c>
      <c r="D15" s="31">
        <v>43.18</v>
      </c>
      <c r="E15" s="90">
        <v>15471</v>
      </c>
      <c r="F15" s="29">
        <f t="shared" si="0"/>
        <v>668037.78</v>
      </c>
      <c r="G15" s="29">
        <f t="shared" si="3"/>
        <v>371686.49697448296</v>
      </c>
      <c r="H15" s="24">
        <v>96303</v>
      </c>
      <c r="I15" s="30">
        <v>76663.94099999938</v>
      </c>
      <c r="J15" s="28">
        <f t="shared" si="1"/>
        <v>4.2977749947544517</v>
      </c>
      <c r="K15" s="83">
        <v>520333</v>
      </c>
      <c r="L15" s="24">
        <v>347630.4</v>
      </c>
      <c r="M15" s="27">
        <v>10</v>
      </c>
      <c r="N15" s="26">
        <f t="shared" si="4"/>
        <v>347630.4</v>
      </c>
      <c r="O15" s="26"/>
      <c r="P15" s="26"/>
      <c r="Q15" s="26">
        <f t="shared" si="2"/>
        <v>6952.6080000000002</v>
      </c>
      <c r="R15" s="83">
        <v>450070</v>
      </c>
      <c r="S15" s="25">
        <f t="shared" si="5"/>
        <v>96303</v>
      </c>
      <c r="T15" s="25">
        <f t="shared" si="6"/>
        <v>1926.06</v>
      </c>
      <c r="U15" s="59">
        <f t="shared" si="7"/>
        <v>98229.06</v>
      </c>
    </row>
    <row r="16" spans="1:22" ht="14.45" customHeight="1" x14ac:dyDescent="0.25">
      <c r="A16" s="83">
        <v>450072</v>
      </c>
      <c r="B16" s="84" t="s">
        <v>96</v>
      </c>
      <c r="C16" s="85" t="s">
        <v>7</v>
      </c>
      <c r="D16" s="31">
        <v>35.68</v>
      </c>
      <c r="E16" s="90">
        <v>47449</v>
      </c>
      <c r="F16" s="29">
        <f t="shared" si="0"/>
        <v>1692980.32</v>
      </c>
      <c r="G16" s="29">
        <f t="shared" si="3"/>
        <v>941949.60738229379</v>
      </c>
      <c r="H16" s="24">
        <v>717126</v>
      </c>
      <c r="I16" s="30">
        <v>767297.08200003474</v>
      </c>
      <c r="J16" s="28">
        <f t="shared" si="1"/>
        <v>1.2691120460255301</v>
      </c>
      <c r="K16" s="83">
        <v>510271</v>
      </c>
      <c r="L16" s="24">
        <v>137308</v>
      </c>
      <c r="M16" s="27">
        <v>11</v>
      </c>
      <c r="N16" s="26">
        <f t="shared" si="4"/>
        <v>137308</v>
      </c>
      <c r="O16" s="26"/>
      <c r="P16" s="26"/>
      <c r="Q16" s="26">
        <f t="shared" si="2"/>
        <v>2746.16</v>
      </c>
      <c r="R16" s="83">
        <v>450072</v>
      </c>
      <c r="S16" s="25">
        <f t="shared" si="5"/>
        <v>767297.08200003474</v>
      </c>
      <c r="T16" s="25">
        <f t="shared" si="6"/>
        <v>15345.941640000696</v>
      </c>
      <c r="U16" s="59">
        <f t="shared" si="7"/>
        <v>782643.02364003542</v>
      </c>
    </row>
    <row r="17" spans="1:21" ht="14.45" customHeight="1" x14ac:dyDescent="0.25">
      <c r="A17" s="83">
        <v>460098</v>
      </c>
      <c r="B17" s="84" t="s">
        <v>97</v>
      </c>
      <c r="C17" s="85" t="s">
        <v>7</v>
      </c>
      <c r="D17" s="31">
        <v>35.68</v>
      </c>
      <c r="E17" s="90">
        <v>20745</v>
      </c>
      <c r="F17" s="29">
        <f t="shared" si="0"/>
        <v>740181.6</v>
      </c>
      <c r="G17" s="29">
        <f t="shared" si="3"/>
        <v>411826.26831220224</v>
      </c>
      <c r="H17" s="24">
        <v>254674</v>
      </c>
      <c r="I17" s="30">
        <v>279412.06700000941</v>
      </c>
      <c r="J17" s="28">
        <f t="shared" si="1"/>
        <v>1.5421719223100236</v>
      </c>
      <c r="K17" s="84" t="s">
        <v>131</v>
      </c>
      <c r="L17" s="24">
        <v>839466.54700003203</v>
      </c>
      <c r="M17" s="27">
        <v>12</v>
      </c>
      <c r="N17" s="26">
        <f t="shared" si="4"/>
        <v>839466.54700003203</v>
      </c>
      <c r="O17" s="26"/>
      <c r="P17" s="26"/>
      <c r="Q17" s="26">
        <f t="shared" si="2"/>
        <v>16789.33094000064</v>
      </c>
      <c r="R17" s="83">
        <v>460098</v>
      </c>
      <c r="S17" s="25">
        <f t="shared" si="5"/>
        <v>274008.52100000106</v>
      </c>
      <c r="T17" s="25">
        <f t="shared" si="6"/>
        <v>5480.1704200000213</v>
      </c>
      <c r="U17" s="59">
        <f t="shared" si="7"/>
        <v>279488.69142000109</v>
      </c>
    </row>
    <row r="18" spans="1:21" ht="14.45" customHeight="1" x14ac:dyDescent="0.25">
      <c r="A18" s="83">
        <v>460103</v>
      </c>
      <c r="B18" s="84" t="s">
        <v>98</v>
      </c>
      <c r="C18" s="85" t="s">
        <v>9</v>
      </c>
      <c r="D18" s="31">
        <v>43.18</v>
      </c>
      <c r="E18" s="90">
        <v>13966</v>
      </c>
      <c r="F18" s="29">
        <f t="shared" si="0"/>
        <v>603051.88</v>
      </c>
      <c r="G18" s="29">
        <f t="shared" si="3"/>
        <v>335529.28813558456</v>
      </c>
      <c r="H18" s="24">
        <v>324868</v>
      </c>
      <c r="I18" s="30">
        <v>358294.93199998478</v>
      </c>
      <c r="J18" s="28">
        <f t="shared" si="1"/>
        <v>0.98228189036343105</v>
      </c>
      <c r="K18" s="83">
        <v>440076</v>
      </c>
      <c r="L18" s="24">
        <v>367484.06800000119</v>
      </c>
      <c r="M18" s="27">
        <v>13</v>
      </c>
      <c r="N18" s="26">
        <f t="shared" si="4"/>
        <v>367484.06800000119</v>
      </c>
      <c r="O18" s="26"/>
      <c r="P18" s="26"/>
      <c r="Q18" s="26">
        <f t="shared" si="2"/>
        <v>7349.6813600000241</v>
      </c>
      <c r="R18" s="83">
        <v>460103</v>
      </c>
      <c r="S18" s="25">
        <f t="shared" si="5"/>
        <v>357347.05799999478</v>
      </c>
      <c r="T18" s="25">
        <f t="shared" si="6"/>
        <v>0</v>
      </c>
      <c r="U18" s="59">
        <f t="shared" si="7"/>
        <v>357347.05799999478</v>
      </c>
    </row>
    <row r="19" spans="1:21" ht="14.45" customHeight="1" x14ac:dyDescent="0.25">
      <c r="A19" s="83">
        <v>460104</v>
      </c>
      <c r="B19" s="84" t="s">
        <v>99</v>
      </c>
      <c r="C19" s="85" t="s">
        <v>6</v>
      </c>
      <c r="D19" s="31">
        <v>76.17</v>
      </c>
      <c r="E19" s="90">
        <v>19972</v>
      </c>
      <c r="F19" s="29">
        <f t="shared" si="0"/>
        <v>1521267.24</v>
      </c>
      <c r="G19" s="29">
        <f t="shared" si="3"/>
        <v>846410.94908979547</v>
      </c>
      <c r="H19" s="24">
        <v>669967</v>
      </c>
      <c r="I19" s="30">
        <v>744867.32599998382</v>
      </c>
      <c r="J19" s="28">
        <f t="shared" si="1"/>
        <v>1.1964806529436791</v>
      </c>
      <c r="K19" s="83">
        <v>470125</v>
      </c>
      <c r="L19" s="24">
        <v>126456</v>
      </c>
      <c r="M19" s="27">
        <v>14</v>
      </c>
      <c r="N19" s="26">
        <f t="shared" si="4"/>
        <v>126456</v>
      </c>
      <c r="O19" s="26"/>
      <c r="P19" s="26"/>
      <c r="Q19" s="26">
        <f t="shared" si="2"/>
        <v>2529.12</v>
      </c>
      <c r="R19" s="83">
        <v>460104</v>
      </c>
      <c r="S19" s="25">
        <f t="shared" si="5"/>
        <v>736956.63299999491</v>
      </c>
      <c r="T19" s="25">
        <f t="shared" si="6"/>
        <v>14739.132659999899</v>
      </c>
      <c r="U19" s="59">
        <f t="shared" si="7"/>
        <v>751695.76565999479</v>
      </c>
    </row>
    <row r="20" spans="1:21" ht="14.45" customHeight="1" x14ac:dyDescent="0.25">
      <c r="A20" s="83">
        <v>460133</v>
      </c>
      <c r="B20" s="84" t="s">
        <v>100</v>
      </c>
      <c r="C20" s="85" t="s">
        <v>6</v>
      </c>
      <c r="D20" s="31">
        <v>76.17</v>
      </c>
      <c r="E20" s="90">
        <v>48837</v>
      </c>
      <c r="F20" s="29">
        <f t="shared" si="0"/>
        <v>3719914.29</v>
      </c>
      <c r="G20" s="29">
        <f t="shared" si="3"/>
        <v>2069706.1646654487</v>
      </c>
      <c r="H20" s="24">
        <v>2142540</v>
      </c>
      <c r="I20" s="30">
        <v>2208657.3679999202</v>
      </c>
      <c r="J20" s="28">
        <f t="shared" si="1"/>
        <v>0.95132718174850972</v>
      </c>
      <c r="K20" s="83">
        <v>490241</v>
      </c>
      <c r="L20" s="24">
        <v>294216.22300000512</v>
      </c>
      <c r="M20" s="27">
        <v>15</v>
      </c>
      <c r="N20" s="26">
        <f t="shared" si="4"/>
        <v>294216.22300000512</v>
      </c>
      <c r="O20" s="26"/>
      <c r="P20" s="26"/>
      <c r="Q20" s="26">
        <f t="shared" si="2"/>
        <v>5884.3244600001026</v>
      </c>
      <c r="R20" s="83">
        <v>460133</v>
      </c>
      <c r="S20" s="25">
        <f t="shared" si="5"/>
        <v>2208657.3679999202</v>
      </c>
      <c r="T20" s="25">
        <f t="shared" si="6"/>
        <v>0</v>
      </c>
      <c r="U20" s="59">
        <f t="shared" si="7"/>
        <v>2208657.3679999202</v>
      </c>
    </row>
    <row r="21" spans="1:21" ht="14.45" customHeight="1" x14ac:dyDescent="0.25">
      <c r="A21" s="83">
        <v>470125</v>
      </c>
      <c r="B21" s="84" t="s">
        <v>101</v>
      </c>
      <c r="C21" s="85" t="s">
        <v>9</v>
      </c>
      <c r="D21" s="31">
        <v>43.18</v>
      </c>
      <c r="E21" s="90">
        <v>8095</v>
      </c>
      <c r="F21" s="29">
        <f t="shared" si="0"/>
        <v>349542.1</v>
      </c>
      <c r="G21" s="29">
        <f t="shared" si="3"/>
        <v>194480.13657865938</v>
      </c>
      <c r="H21" s="24">
        <v>126456</v>
      </c>
      <c r="I21" s="30">
        <v>123673.34900000032</v>
      </c>
      <c r="J21" s="28">
        <f t="shared" si="1"/>
        <v>1.5550365229524434</v>
      </c>
      <c r="K21" s="83">
        <v>460098</v>
      </c>
      <c r="L21" s="24">
        <v>274008.52100000106</v>
      </c>
      <c r="M21" s="27">
        <v>16</v>
      </c>
      <c r="N21" s="26">
        <f t="shared" si="4"/>
        <v>274008.52100000106</v>
      </c>
      <c r="O21" s="26"/>
      <c r="P21" s="26"/>
      <c r="Q21" s="26">
        <f t="shared" si="2"/>
        <v>5480.1704200000213</v>
      </c>
      <c r="R21" s="83">
        <v>470125</v>
      </c>
      <c r="S21" s="25">
        <f t="shared" si="5"/>
        <v>126456</v>
      </c>
      <c r="T21" s="25">
        <f t="shared" si="6"/>
        <v>2529.12</v>
      </c>
      <c r="U21" s="59">
        <f t="shared" si="7"/>
        <v>128985.12</v>
      </c>
    </row>
    <row r="22" spans="1:21" ht="14.45" customHeight="1" x14ac:dyDescent="0.25">
      <c r="A22" s="83">
        <v>470141</v>
      </c>
      <c r="B22" s="84" t="s">
        <v>102</v>
      </c>
      <c r="C22" s="85" t="s">
        <v>6</v>
      </c>
      <c r="D22" s="31">
        <v>76.17</v>
      </c>
      <c r="E22" s="90">
        <v>32468</v>
      </c>
      <c r="F22" s="29">
        <f t="shared" si="0"/>
        <v>2473087.56</v>
      </c>
      <c r="G22" s="29">
        <f t="shared" si="3"/>
        <v>1375989.9206412719</v>
      </c>
      <c r="H22" s="24">
        <v>1468456</v>
      </c>
      <c r="I22" s="30">
        <v>1454360.2070000577</v>
      </c>
      <c r="J22" s="28">
        <f t="shared" si="1"/>
        <v>0.9415507669252805</v>
      </c>
      <c r="K22" s="84" t="s">
        <v>130</v>
      </c>
      <c r="L22" s="24">
        <v>440034.69199999055</v>
      </c>
      <c r="M22" s="27">
        <v>17</v>
      </c>
      <c r="N22" s="26">
        <f t="shared" si="4"/>
        <v>440034.69199999055</v>
      </c>
      <c r="O22" s="26"/>
      <c r="P22" s="26"/>
      <c r="Q22" s="26">
        <f t="shared" si="2"/>
        <v>8800.6938399998107</v>
      </c>
      <c r="R22" s="83">
        <v>470141</v>
      </c>
      <c r="S22" s="25">
        <f t="shared" si="5"/>
        <v>1468456</v>
      </c>
      <c r="T22" s="25">
        <f t="shared" si="6"/>
        <v>0</v>
      </c>
      <c r="U22" s="59">
        <f t="shared" si="7"/>
        <v>1468456</v>
      </c>
    </row>
    <row r="23" spans="1:21" ht="14.45" customHeight="1" x14ac:dyDescent="0.25">
      <c r="A23" s="83">
        <v>470145</v>
      </c>
      <c r="B23" s="84" t="s">
        <v>103</v>
      </c>
      <c r="C23" s="85" t="s">
        <v>7</v>
      </c>
      <c r="D23" s="31">
        <v>35.68</v>
      </c>
      <c r="E23" s="90">
        <v>10977</v>
      </c>
      <c r="F23" s="29">
        <f t="shared" si="0"/>
        <v>391659.36</v>
      </c>
      <c r="G23" s="29">
        <f t="shared" si="3"/>
        <v>217913.56699267504</v>
      </c>
      <c r="H23" s="24">
        <v>39283</v>
      </c>
      <c r="I23" s="30">
        <v>41859.441999999734</v>
      </c>
      <c r="J23" s="28">
        <f t="shared" si="1"/>
        <v>5.3711365253876817</v>
      </c>
      <c r="K23" s="83">
        <v>490246</v>
      </c>
      <c r="L23" s="24">
        <v>497283.97500000033</v>
      </c>
      <c r="M23" s="27">
        <v>18</v>
      </c>
      <c r="N23" s="26">
        <f t="shared" si="4"/>
        <v>497283.97500000033</v>
      </c>
      <c r="O23" s="26"/>
      <c r="P23" s="26"/>
      <c r="Q23" s="26">
        <f t="shared" si="2"/>
        <v>9945.6795000000075</v>
      </c>
      <c r="R23" s="83">
        <v>470145</v>
      </c>
      <c r="S23" s="25">
        <f t="shared" si="5"/>
        <v>41859.441999999734</v>
      </c>
      <c r="T23" s="25">
        <f t="shared" si="6"/>
        <v>837.18883999999468</v>
      </c>
      <c r="U23" s="59">
        <f t="shared" si="7"/>
        <v>42696.630839999729</v>
      </c>
    </row>
    <row r="24" spans="1:21" x14ac:dyDescent="0.25">
      <c r="A24" s="83">
        <v>470182</v>
      </c>
      <c r="B24" s="84" t="s">
        <v>104</v>
      </c>
      <c r="C24" s="85" t="s">
        <v>9</v>
      </c>
      <c r="D24" s="31">
        <v>43.18</v>
      </c>
      <c r="E24" s="90">
        <v>51617</v>
      </c>
      <c r="F24" s="29">
        <f t="shared" si="0"/>
        <v>2228822.06</v>
      </c>
      <c r="G24" s="29">
        <f t="shared" si="3"/>
        <v>1240084.1519185498</v>
      </c>
      <c r="H24" s="24">
        <v>1138560</v>
      </c>
      <c r="I24" s="30">
        <v>1071284.7130001062</v>
      </c>
      <c r="J24" s="28">
        <f t="shared" si="1"/>
        <v>1.1223269622732901</v>
      </c>
      <c r="K24" s="83">
        <v>530359</v>
      </c>
      <c r="L24" s="24">
        <v>231698.08399999441</v>
      </c>
      <c r="M24" s="27">
        <v>19</v>
      </c>
      <c r="N24" s="26">
        <f t="shared" si="4"/>
        <v>231698.08399999441</v>
      </c>
      <c r="O24" s="26"/>
      <c r="P24" s="26"/>
      <c r="Q24" s="26">
        <f t="shared" si="2"/>
        <v>4633.9616799998885</v>
      </c>
      <c r="R24" s="83">
        <v>470182</v>
      </c>
      <c r="S24" s="25">
        <f t="shared" si="5"/>
        <v>1138560</v>
      </c>
      <c r="T24" s="25">
        <f t="shared" si="6"/>
        <v>22771.200000000001</v>
      </c>
      <c r="U24" s="59">
        <f t="shared" si="7"/>
        <v>1161331.2</v>
      </c>
    </row>
    <row r="25" spans="1:21" ht="14.45" customHeight="1" x14ac:dyDescent="0.25">
      <c r="A25" s="83">
        <v>480181</v>
      </c>
      <c r="B25" s="84" t="s">
        <v>105</v>
      </c>
      <c r="C25" s="85" t="s">
        <v>9</v>
      </c>
      <c r="D25" s="31">
        <v>43.18</v>
      </c>
      <c r="E25" s="90">
        <v>12042</v>
      </c>
      <c r="F25" s="29">
        <f t="shared" si="0"/>
        <v>519973.56</v>
      </c>
      <c r="G25" s="29">
        <f t="shared" si="3"/>
        <v>289305.72015814902</v>
      </c>
      <c r="H25" s="24">
        <v>225608</v>
      </c>
      <c r="I25" s="30">
        <v>221605.86</v>
      </c>
      <c r="J25" s="28">
        <f t="shared" si="1"/>
        <v>1.2938137478930061</v>
      </c>
      <c r="K25" s="83">
        <v>500230</v>
      </c>
      <c r="L25" s="24">
        <v>302669.68500000954</v>
      </c>
      <c r="M25" s="27">
        <v>20</v>
      </c>
      <c r="N25" s="26">
        <f t="shared" si="4"/>
        <v>302669.68500000954</v>
      </c>
      <c r="O25" s="26"/>
      <c r="P25" s="26"/>
      <c r="Q25" s="26">
        <f t="shared" si="2"/>
        <v>6053.3937000001906</v>
      </c>
      <c r="R25" s="83">
        <v>480181</v>
      </c>
      <c r="S25" s="25">
        <f t="shared" si="5"/>
        <v>225608</v>
      </c>
      <c r="T25" s="25">
        <f t="shared" si="6"/>
        <v>4512.16</v>
      </c>
      <c r="U25" s="59">
        <f t="shared" si="7"/>
        <v>230120.16</v>
      </c>
    </row>
    <row r="26" spans="1:21" ht="14.45" customHeight="1" x14ac:dyDescent="0.25">
      <c r="A26" s="83">
        <v>480212</v>
      </c>
      <c r="B26" s="84" t="s">
        <v>106</v>
      </c>
      <c r="C26" s="85" t="s">
        <v>7</v>
      </c>
      <c r="D26" s="31">
        <v>35.68</v>
      </c>
      <c r="E26" s="90">
        <v>4385</v>
      </c>
      <c r="F26" s="29">
        <f t="shared" si="0"/>
        <v>156456.79999999999</v>
      </c>
      <c r="G26" s="29">
        <f t="shared" si="3"/>
        <v>87050.28616770338</v>
      </c>
      <c r="H26" s="24">
        <v>4641</v>
      </c>
      <c r="I26" s="30">
        <v>1674.33</v>
      </c>
      <c r="J26" s="28">
        <f t="shared" si="1"/>
        <v>27.567929519978648</v>
      </c>
      <c r="K26" s="83">
        <v>480181</v>
      </c>
      <c r="L26" s="24">
        <v>225608</v>
      </c>
      <c r="M26" s="27">
        <v>21</v>
      </c>
      <c r="N26" s="26">
        <f t="shared" si="4"/>
        <v>225608</v>
      </c>
      <c r="O26" s="26"/>
      <c r="P26" s="26"/>
      <c r="Q26" s="26">
        <f t="shared" si="2"/>
        <v>4512.16</v>
      </c>
      <c r="R26" s="83">
        <v>480212</v>
      </c>
      <c r="S26" s="25">
        <f t="shared" si="5"/>
        <v>4641</v>
      </c>
      <c r="T26" s="25">
        <f t="shared" si="6"/>
        <v>92.820000000000007</v>
      </c>
      <c r="U26" s="59">
        <f t="shared" si="7"/>
        <v>4733.82</v>
      </c>
    </row>
    <row r="27" spans="1:21" ht="14.45" customHeight="1" x14ac:dyDescent="0.25">
      <c r="A27" s="83">
        <v>490241</v>
      </c>
      <c r="B27" s="84" t="s">
        <v>107</v>
      </c>
      <c r="C27" s="85" t="s">
        <v>7</v>
      </c>
      <c r="D27" s="31">
        <v>35.68</v>
      </c>
      <c r="E27" s="90">
        <v>22773</v>
      </c>
      <c r="F27" s="29">
        <f t="shared" si="0"/>
        <v>812540.64</v>
      </c>
      <c r="G27" s="29">
        <f t="shared" si="3"/>
        <v>452085.78492522449</v>
      </c>
      <c r="H27" s="24">
        <v>267470</v>
      </c>
      <c r="I27" s="30">
        <v>315379.03299999796</v>
      </c>
      <c r="J27" s="28">
        <f t="shared" si="1"/>
        <v>1.5512963368860082</v>
      </c>
      <c r="K27" s="83">
        <v>450072</v>
      </c>
      <c r="L27" s="24">
        <v>767297.08200003474</v>
      </c>
      <c r="M27" s="27">
        <v>22</v>
      </c>
      <c r="N27" s="26">
        <f t="shared" si="4"/>
        <v>767297.08200003474</v>
      </c>
      <c r="O27" s="26"/>
      <c r="P27" s="26"/>
      <c r="Q27" s="26">
        <f t="shared" si="2"/>
        <v>15345.941640000696</v>
      </c>
      <c r="R27" s="83">
        <v>490241</v>
      </c>
      <c r="S27" s="25">
        <f t="shared" si="5"/>
        <v>294216.22300000512</v>
      </c>
      <c r="T27" s="25">
        <f t="shared" si="6"/>
        <v>5884.3244600001026</v>
      </c>
      <c r="U27" s="59">
        <f t="shared" si="7"/>
        <v>300100.54746000521</v>
      </c>
    </row>
    <row r="28" spans="1:21" ht="14.45" customHeight="1" x14ac:dyDescent="0.25">
      <c r="A28" s="83">
        <v>490246</v>
      </c>
      <c r="B28" s="84" t="s">
        <v>108</v>
      </c>
      <c r="C28" s="85" t="s">
        <v>6</v>
      </c>
      <c r="D28" s="31">
        <v>76.17</v>
      </c>
      <c r="E28" s="90">
        <v>15505</v>
      </c>
      <c r="F28" s="29">
        <f t="shared" si="0"/>
        <v>1181015.8500000001</v>
      </c>
      <c r="G28" s="29">
        <f t="shared" si="3"/>
        <v>657100.02832151414</v>
      </c>
      <c r="H28" s="24">
        <v>452113</v>
      </c>
      <c r="I28" s="30">
        <v>498503.27399999741</v>
      </c>
      <c r="J28" s="28">
        <f t="shared" si="1"/>
        <v>1.3824716582150915</v>
      </c>
      <c r="K28" s="83">
        <v>510270</v>
      </c>
      <c r="L28" s="24">
        <v>170727.32599999948</v>
      </c>
      <c r="M28" s="27">
        <v>23</v>
      </c>
      <c r="N28" s="26">
        <f t="shared" si="4"/>
        <v>170727.32599999948</v>
      </c>
      <c r="O28" s="26"/>
      <c r="P28" s="26"/>
      <c r="Q28" s="26">
        <f t="shared" si="2"/>
        <v>3414.5465199999894</v>
      </c>
      <c r="R28" s="83">
        <v>490246</v>
      </c>
      <c r="S28" s="25">
        <f t="shared" si="5"/>
        <v>497283.97500000033</v>
      </c>
      <c r="T28" s="25">
        <f t="shared" si="6"/>
        <v>9945.6795000000075</v>
      </c>
      <c r="U28" s="59">
        <f t="shared" si="7"/>
        <v>507229.65450000035</v>
      </c>
    </row>
    <row r="29" spans="1:21" ht="14.45" customHeight="1" x14ac:dyDescent="0.25">
      <c r="A29" s="83">
        <v>490248</v>
      </c>
      <c r="B29" s="84" t="s">
        <v>109</v>
      </c>
      <c r="C29" s="85" t="s">
        <v>9</v>
      </c>
      <c r="D29" s="31">
        <v>43.18</v>
      </c>
      <c r="E29" s="90">
        <v>10689</v>
      </c>
      <c r="F29" s="29">
        <f t="shared" si="0"/>
        <v>461551.02</v>
      </c>
      <c r="G29" s="29">
        <f t="shared" si="3"/>
        <v>256800.26928836197</v>
      </c>
      <c r="H29" s="24">
        <v>443239</v>
      </c>
      <c r="I29" s="30">
        <v>392100.57599999337</v>
      </c>
      <c r="J29" s="28">
        <f t="shared" si="1"/>
        <v>0.61484042338337386</v>
      </c>
      <c r="K29" s="83">
        <v>460104</v>
      </c>
      <c r="L29" s="24">
        <v>736956.63299999491</v>
      </c>
      <c r="M29" s="27">
        <v>24</v>
      </c>
      <c r="N29" s="26">
        <f t="shared" si="4"/>
        <v>736956.63299999491</v>
      </c>
      <c r="O29" s="26"/>
      <c r="P29" s="26"/>
      <c r="Q29" s="26">
        <f t="shared" si="2"/>
        <v>14739.132659999899</v>
      </c>
      <c r="R29" s="83">
        <v>490248</v>
      </c>
      <c r="S29" s="25">
        <f t="shared" si="5"/>
        <v>443239</v>
      </c>
      <c r="T29" s="25">
        <f t="shared" si="6"/>
        <v>-8864.7800000000007</v>
      </c>
      <c r="U29" s="59">
        <f t="shared" si="7"/>
        <v>434374.22</v>
      </c>
    </row>
    <row r="30" spans="1:21" ht="14.45" customHeight="1" x14ac:dyDescent="0.25">
      <c r="A30" s="83">
        <v>500230</v>
      </c>
      <c r="B30" s="84" t="s">
        <v>110</v>
      </c>
      <c r="C30" s="85" t="s">
        <v>7</v>
      </c>
      <c r="D30" s="31">
        <v>35.68</v>
      </c>
      <c r="E30" s="90">
        <v>19331</v>
      </c>
      <c r="F30" s="29">
        <f t="shared" si="0"/>
        <v>689730.08</v>
      </c>
      <c r="G30" s="29">
        <f t="shared" si="3"/>
        <v>383755.7769459234</v>
      </c>
      <c r="H30" s="24">
        <v>287288</v>
      </c>
      <c r="I30" s="30">
        <v>302669.68500000954</v>
      </c>
      <c r="J30" s="28">
        <f t="shared" si="1"/>
        <v>1.3009603458116394</v>
      </c>
      <c r="K30" s="83">
        <v>470182</v>
      </c>
      <c r="L30" s="24">
        <v>1138560</v>
      </c>
      <c r="M30" s="27">
        <v>25</v>
      </c>
      <c r="N30" s="26">
        <f t="shared" si="4"/>
        <v>1138560</v>
      </c>
      <c r="O30" s="26"/>
      <c r="P30" s="26"/>
      <c r="Q30" s="26">
        <f t="shared" si="2"/>
        <v>22771.200000000001</v>
      </c>
      <c r="R30" s="83">
        <v>500230</v>
      </c>
      <c r="S30" s="25">
        <f t="shared" si="5"/>
        <v>302669.68500000954</v>
      </c>
      <c r="T30" s="25">
        <f t="shared" si="6"/>
        <v>6053.3937000001906</v>
      </c>
      <c r="U30" s="59">
        <f t="shared" si="7"/>
        <v>308723.07870000973</v>
      </c>
    </row>
    <row r="31" spans="1:21" ht="14.45" customHeight="1" x14ac:dyDescent="0.25">
      <c r="A31" s="83">
        <v>500231</v>
      </c>
      <c r="B31" s="84" t="s">
        <v>111</v>
      </c>
      <c r="C31" s="85" t="s">
        <v>6</v>
      </c>
      <c r="D31" s="31">
        <v>76.17</v>
      </c>
      <c r="E31" s="90">
        <v>37491</v>
      </c>
      <c r="F31" s="29">
        <f t="shared" si="0"/>
        <v>2855689.47</v>
      </c>
      <c r="G31" s="29">
        <f t="shared" si="3"/>
        <v>1588864.0542922853</v>
      </c>
      <c r="H31" s="24">
        <v>1445434</v>
      </c>
      <c r="I31" s="30">
        <v>1572860.7520002022</v>
      </c>
      <c r="J31" s="28">
        <f t="shared" si="1"/>
        <v>1.0528223283954334</v>
      </c>
      <c r="K31" s="83">
        <v>530439</v>
      </c>
      <c r="L31" s="24">
        <v>382815.06099999242</v>
      </c>
      <c r="M31" s="27">
        <v>26</v>
      </c>
      <c r="N31" s="26">
        <f>+L31</f>
        <v>382815.06099999242</v>
      </c>
      <c r="O31" s="26"/>
      <c r="P31" s="26"/>
      <c r="Q31" s="26">
        <f t="shared" si="2"/>
        <v>7656.3012199998484</v>
      </c>
      <c r="R31" s="83">
        <v>500231</v>
      </c>
      <c r="S31" s="25">
        <f t="shared" si="5"/>
        <v>1572860.7520002022</v>
      </c>
      <c r="T31" s="25">
        <f t="shared" si="6"/>
        <v>10156.2934</v>
      </c>
      <c r="U31" s="59">
        <f t="shared" si="7"/>
        <v>1583017.0454002023</v>
      </c>
    </row>
    <row r="32" spans="1:21" ht="14.45" customHeight="1" x14ac:dyDescent="0.25">
      <c r="A32" s="83">
        <v>500232</v>
      </c>
      <c r="B32" s="84" t="s">
        <v>112</v>
      </c>
      <c r="C32" s="85" t="s">
        <v>7</v>
      </c>
      <c r="D32" s="31">
        <v>35.68</v>
      </c>
      <c r="E32" s="90">
        <v>13533</v>
      </c>
      <c r="F32" s="29">
        <f t="shared" si="0"/>
        <v>482857.44</v>
      </c>
      <c r="G32" s="29">
        <f t="shared" si="3"/>
        <v>268654.85124459065</v>
      </c>
      <c r="H32" s="24">
        <v>61107</v>
      </c>
      <c r="I32" s="30">
        <v>194706.71499999927</v>
      </c>
      <c r="J32" s="28">
        <f t="shared" si="1"/>
        <v>2.1003944315072505</v>
      </c>
      <c r="K32" s="83">
        <v>530365</v>
      </c>
      <c r="L32" s="24">
        <v>240949.5</v>
      </c>
      <c r="M32" s="27">
        <v>27</v>
      </c>
      <c r="N32" s="26">
        <f t="shared" si="4"/>
        <v>240949.5</v>
      </c>
      <c r="O32" s="26"/>
      <c r="P32" s="26"/>
      <c r="Q32" s="26">
        <f t="shared" si="2"/>
        <v>4818.99</v>
      </c>
      <c r="R32" s="83">
        <v>500232</v>
      </c>
      <c r="S32" s="25">
        <f t="shared" si="5"/>
        <v>67206.731000000407</v>
      </c>
      <c r="T32" s="25">
        <f t="shared" si="6"/>
        <v>1344.1346200000082</v>
      </c>
      <c r="U32" s="59">
        <f t="shared" si="7"/>
        <v>68550.865620000419</v>
      </c>
    </row>
    <row r="33" spans="1:21" ht="14.45" customHeight="1" x14ac:dyDescent="0.25">
      <c r="A33" s="83">
        <v>500233</v>
      </c>
      <c r="B33" s="84" t="s">
        <v>113</v>
      </c>
      <c r="C33" s="85" t="s">
        <v>9</v>
      </c>
      <c r="D33" s="31">
        <v>43.18</v>
      </c>
      <c r="E33" s="90">
        <v>17095</v>
      </c>
      <c r="F33" s="29">
        <f t="shared" si="0"/>
        <v>738162.1</v>
      </c>
      <c r="G33" s="29">
        <f t="shared" si="3"/>
        <v>410702.64790761977</v>
      </c>
      <c r="H33" s="24">
        <v>171013</v>
      </c>
      <c r="I33" s="30">
        <v>171233.31899999524</v>
      </c>
      <c r="J33" s="28">
        <f t="shared" si="1"/>
        <v>2.4000412866829137</v>
      </c>
      <c r="K33" s="83">
        <v>530355</v>
      </c>
      <c r="L33" s="24">
        <v>432469</v>
      </c>
      <c r="M33" s="27">
        <v>28</v>
      </c>
      <c r="N33" s="26">
        <f t="shared" si="4"/>
        <v>432469</v>
      </c>
      <c r="O33" s="26"/>
      <c r="P33" s="26"/>
      <c r="Q33" s="26">
        <f t="shared" si="2"/>
        <v>8649.380000000001</v>
      </c>
      <c r="R33" s="83">
        <v>500233</v>
      </c>
      <c r="S33" s="25">
        <f t="shared" si="5"/>
        <v>171233.31899999524</v>
      </c>
      <c r="T33" s="25">
        <f t="shared" si="6"/>
        <v>3424.6663799999051</v>
      </c>
      <c r="U33" s="59">
        <f t="shared" si="7"/>
        <v>174657.98537999514</v>
      </c>
    </row>
    <row r="34" spans="1:21" ht="14.45" customHeight="1" x14ac:dyDescent="0.25">
      <c r="A34" s="83">
        <v>500234</v>
      </c>
      <c r="B34" s="84" t="s">
        <v>114</v>
      </c>
      <c r="C34" s="85" t="s">
        <v>9</v>
      </c>
      <c r="D34" s="31">
        <v>43.18</v>
      </c>
      <c r="E34" s="90">
        <v>14042</v>
      </c>
      <c r="F34" s="29">
        <f t="shared" si="0"/>
        <v>606333.55999999994</v>
      </c>
      <c r="G34" s="29">
        <f t="shared" si="3"/>
        <v>337355.16712014016</v>
      </c>
      <c r="H34" s="24">
        <v>324787</v>
      </c>
      <c r="I34" s="30">
        <v>324688.06100000278</v>
      </c>
      <c r="J34" s="28">
        <f t="shared" si="1"/>
        <v>1.0388548764311636</v>
      </c>
      <c r="K34" s="83">
        <v>500231</v>
      </c>
      <c r="L34" s="24">
        <v>1572860.7520002022</v>
      </c>
      <c r="M34" s="27">
        <v>29</v>
      </c>
      <c r="N34" s="26">
        <v>507814.67</v>
      </c>
      <c r="O34" s="26">
        <f>+L34-N34</f>
        <v>1065046.0820002023</v>
      </c>
      <c r="P34" s="26"/>
      <c r="Q34" s="26">
        <f t="shared" si="2"/>
        <v>10156.2934</v>
      </c>
      <c r="R34" s="83">
        <v>500234</v>
      </c>
      <c r="S34" s="25">
        <f t="shared" si="5"/>
        <v>324787</v>
      </c>
      <c r="T34" s="25">
        <f t="shared" si="6"/>
        <v>0</v>
      </c>
      <c r="U34" s="59">
        <f t="shared" si="7"/>
        <v>324787</v>
      </c>
    </row>
    <row r="35" spans="1:21" ht="14.45" customHeight="1" x14ac:dyDescent="0.25">
      <c r="A35" s="83">
        <v>510270</v>
      </c>
      <c r="B35" s="84" t="s">
        <v>115</v>
      </c>
      <c r="C35" s="85" t="s">
        <v>7</v>
      </c>
      <c r="D35" s="31">
        <v>35.68</v>
      </c>
      <c r="E35" s="90">
        <v>10452</v>
      </c>
      <c r="F35" s="29">
        <f t="shared" si="0"/>
        <v>372927.36</v>
      </c>
      <c r="G35" s="29">
        <f t="shared" si="3"/>
        <v>207491.35485172996</v>
      </c>
      <c r="H35" s="24">
        <v>164808</v>
      </c>
      <c r="I35" s="30">
        <v>170727.32599999948</v>
      </c>
      <c r="J35" s="28">
        <f t="shared" si="1"/>
        <v>1.2367780008459097</v>
      </c>
      <c r="K35" s="84" t="s">
        <v>133</v>
      </c>
      <c r="L35" s="24">
        <v>103032</v>
      </c>
      <c r="M35" s="27" t="s">
        <v>172</v>
      </c>
      <c r="N35" s="26"/>
      <c r="O35" s="26">
        <f>+L35</f>
        <v>103032</v>
      </c>
      <c r="P35" s="26"/>
      <c r="Q35" s="26">
        <f t="shared" si="2"/>
        <v>0</v>
      </c>
      <c r="R35" s="83">
        <v>510270</v>
      </c>
      <c r="S35" s="25">
        <f t="shared" si="5"/>
        <v>170727.32599999948</v>
      </c>
      <c r="T35" s="25">
        <f t="shared" si="6"/>
        <v>3414.5465199999894</v>
      </c>
      <c r="U35" s="59">
        <f t="shared" si="7"/>
        <v>174141.87251999948</v>
      </c>
    </row>
    <row r="36" spans="1:21" ht="14.45" customHeight="1" x14ac:dyDescent="0.25">
      <c r="A36" s="83">
        <v>510271</v>
      </c>
      <c r="B36" s="84" t="s">
        <v>116</v>
      </c>
      <c r="C36" s="85" t="s">
        <v>7</v>
      </c>
      <c r="D36" s="31">
        <v>35.68</v>
      </c>
      <c r="E36" s="90">
        <v>11236</v>
      </c>
      <c r="F36" s="29">
        <f t="shared" si="0"/>
        <v>400900.48</v>
      </c>
      <c r="G36" s="29">
        <f t="shared" si="3"/>
        <v>223055.19164887461</v>
      </c>
      <c r="H36" s="24">
        <v>137308</v>
      </c>
      <c r="I36" s="30">
        <v>123008.4020000021</v>
      </c>
      <c r="J36" s="28">
        <f t="shared" si="1"/>
        <v>1.7137236834494418</v>
      </c>
      <c r="K36" s="133" t="s">
        <v>137</v>
      </c>
      <c r="L36" s="24">
        <v>34344</v>
      </c>
      <c r="M36" s="27" t="s">
        <v>172</v>
      </c>
      <c r="N36" s="26"/>
      <c r="O36" s="26">
        <f t="shared" ref="O36:O46" si="8">+L36</f>
        <v>34344</v>
      </c>
      <c r="P36" s="26"/>
      <c r="Q36" s="26">
        <f t="shared" si="2"/>
        <v>0</v>
      </c>
      <c r="R36" s="83">
        <v>510271</v>
      </c>
      <c r="S36" s="25">
        <f t="shared" si="5"/>
        <v>137308</v>
      </c>
      <c r="T36" s="25">
        <f t="shared" si="6"/>
        <v>2746.16</v>
      </c>
      <c r="U36" s="59">
        <f t="shared" si="7"/>
        <v>140054.16</v>
      </c>
    </row>
    <row r="37" spans="1:21" ht="14.45" customHeight="1" x14ac:dyDescent="0.25">
      <c r="A37" s="83">
        <v>510299</v>
      </c>
      <c r="B37" s="84" t="s">
        <v>117</v>
      </c>
      <c r="C37" s="85" t="s">
        <v>9</v>
      </c>
      <c r="D37" s="31">
        <v>43.18</v>
      </c>
      <c r="E37" s="90">
        <v>24785</v>
      </c>
      <c r="F37" s="29">
        <f t="shared" si="0"/>
        <v>1070216.3</v>
      </c>
      <c r="G37" s="29">
        <f t="shared" si="3"/>
        <v>595452.77147647599</v>
      </c>
      <c r="H37" s="24">
        <v>659222</v>
      </c>
      <c r="I37" s="30">
        <v>649343.61899999448</v>
      </c>
      <c r="J37" s="28">
        <f t="shared" si="1"/>
        <v>0.9100846955332984</v>
      </c>
      <c r="K37" s="133" t="s">
        <v>135</v>
      </c>
      <c r="L37" s="24">
        <v>103032</v>
      </c>
      <c r="M37" s="27" t="s">
        <v>172</v>
      </c>
      <c r="N37" s="26"/>
      <c r="O37" s="26">
        <f t="shared" si="8"/>
        <v>103032</v>
      </c>
      <c r="P37" s="26"/>
      <c r="Q37" s="26">
        <f t="shared" si="2"/>
        <v>0</v>
      </c>
      <c r="R37" s="83">
        <v>510299</v>
      </c>
      <c r="S37" s="25">
        <f t="shared" si="5"/>
        <v>659222</v>
      </c>
      <c r="T37" s="25">
        <f t="shared" si="6"/>
        <v>0</v>
      </c>
      <c r="U37" s="59">
        <f t="shared" si="7"/>
        <v>659222</v>
      </c>
    </row>
    <row r="38" spans="1:21" ht="14.45" customHeight="1" x14ac:dyDescent="0.25">
      <c r="A38" s="83">
        <v>520314</v>
      </c>
      <c r="B38" s="84" t="s">
        <v>118</v>
      </c>
      <c r="C38" s="85" t="s">
        <v>9</v>
      </c>
      <c r="D38" s="31">
        <v>43.18</v>
      </c>
      <c r="E38" s="90">
        <v>16239</v>
      </c>
      <c r="F38" s="29">
        <f t="shared" si="0"/>
        <v>701200.02</v>
      </c>
      <c r="G38" s="29">
        <f t="shared" si="3"/>
        <v>390137.48460788751</v>
      </c>
      <c r="H38" s="24">
        <v>544402</v>
      </c>
      <c r="I38" s="30">
        <v>543646.82399998081</v>
      </c>
      <c r="J38" s="28">
        <f t="shared" si="1"/>
        <v>0.71713231245199038</v>
      </c>
      <c r="K38" s="132">
        <v>500234</v>
      </c>
      <c r="L38" s="24">
        <v>324787</v>
      </c>
      <c r="M38" s="27">
        <v>30</v>
      </c>
      <c r="N38" s="26"/>
      <c r="O38" s="26">
        <f t="shared" si="8"/>
        <v>324787</v>
      </c>
      <c r="P38" s="26"/>
      <c r="Q38" s="26">
        <f t="shared" si="2"/>
        <v>0</v>
      </c>
      <c r="R38" s="83">
        <v>520314</v>
      </c>
      <c r="S38" s="25">
        <f t="shared" si="5"/>
        <v>544402</v>
      </c>
      <c r="T38" s="25">
        <f t="shared" si="6"/>
        <v>-10888.04</v>
      </c>
      <c r="U38" s="59">
        <f t="shared" si="7"/>
        <v>533513.96</v>
      </c>
    </row>
    <row r="39" spans="1:21" ht="14.45" customHeight="1" x14ac:dyDescent="0.25">
      <c r="A39" s="83">
        <v>520316</v>
      </c>
      <c r="B39" s="84" t="s">
        <v>119</v>
      </c>
      <c r="C39" s="85" t="s">
        <v>9</v>
      </c>
      <c r="D39" s="31">
        <v>43.18</v>
      </c>
      <c r="E39" s="90">
        <v>22689</v>
      </c>
      <c r="F39" s="29">
        <f t="shared" si="0"/>
        <v>979711.02</v>
      </c>
      <c r="G39" s="29">
        <f t="shared" si="3"/>
        <v>545096.95106030919</v>
      </c>
      <c r="H39" s="24">
        <v>267477</v>
      </c>
      <c r="I39" s="30">
        <v>269687.10300000408</v>
      </c>
      <c r="J39" s="28">
        <f t="shared" si="1"/>
        <v>2.0295360319723565</v>
      </c>
      <c r="K39" s="132">
        <v>530396</v>
      </c>
      <c r="L39" s="24">
        <v>412206.8559999853</v>
      </c>
      <c r="M39" s="27">
        <v>31</v>
      </c>
      <c r="N39" s="26"/>
      <c r="O39" s="26">
        <f t="shared" si="8"/>
        <v>412206.8559999853</v>
      </c>
      <c r="P39" s="26"/>
      <c r="Q39" s="26">
        <f t="shared" si="2"/>
        <v>0</v>
      </c>
      <c r="R39" s="83">
        <v>520316</v>
      </c>
      <c r="S39" s="25">
        <f t="shared" si="5"/>
        <v>269687.10300000408</v>
      </c>
      <c r="T39" s="25">
        <f t="shared" si="6"/>
        <v>5393.7420600000814</v>
      </c>
      <c r="U39" s="59">
        <f t="shared" si="7"/>
        <v>275080.84506000415</v>
      </c>
    </row>
    <row r="40" spans="1:21" ht="13.5" customHeight="1" x14ac:dyDescent="0.25">
      <c r="A40" s="83">
        <v>520333</v>
      </c>
      <c r="B40" s="84" t="s">
        <v>120</v>
      </c>
      <c r="C40" s="85" t="s">
        <v>7</v>
      </c>
      <c r="D40" s="31">
        <v>35.68</v>
      </c>
      <c r="E40" s="90">
        <v>29672</v>
      </c>
      <c r="F40" s="29">
        <f t="shared" si="0"/>
        <v>1058696.96</v>
      </c>
      <c r="G40" s="29">
        <f t="shared" si="3"/>
        <v>589043.57837356778</v>
      </c>
      <c r="H40" s="24">
        <v>316270</v>
      </c>
      <c r="I40" s="30">
        <v>347630.4</v>
      </c>
      <c r="J40" s="28">
        <f t="shared" si="1"/>
        <v>1.7744938197764839</v>
      </c>
      <c r="K40" s="83">
        <v>460103</v>
      </c>
      <c r="L40" s="24">
        <v>357347.05799999478</v>
      </c>
      <c r="M40" s="27">
        <v>32</v>
      </c>
      <c r="N40" s="26"/>
      <c r="O40" s="26">
        <f t="shared" si="8"/>
        <v>357347.05799999478</v>
      </c>
      <c r="P40" s="26"/>
      <c r="Q40" s="26">
        <f t="shared" si="2"/>
        <v>0</v>
      </c>
      <c r="R40" s="83">
        <v>520333</v>
      </c>
      <c r="S40" s="25">
        <f t="shared" si="5"/>
        <v>347630.4</v>
      </c>
      <c r="T40" s="25">
        <f t="shared" si="6"/>
        <v>6952.6080000000002</v>
      </c>
      <c r="U40" s="59">
        <f t="shared" si="7"/>
        <v>354583.00800000003</v>
      </c>
    </row>
    <row r="41" spans="1:21" ht="13.5" customHeight="1" x14ac:dyDescent="0.25">
      <c r="A41" s="83">
        <v>530355</v>
      </c>
      <c r="B41" s="84" t="s">
        <v>121</v>
      </c>
      <c r="C41" s="85" t="s">
        <v>9</v>
      </c>
      <c r="D41" s="31">
        <v>43.18</v>
      </c>
      <c r="E41" s="90">
        <v>19016</v>
      </c>
      <c r="F41" s="29">
        <f t="shared" si="0"/>
        <v>821110.88</v>
      </c>
      <c r="G41" s="29">
        <f t="shared" si="3"/>
        <v>456854.14171461237</v>
      </c>
      <c r="H41" s="24">
        <v>393154</v>
      </c>
      <c r="I41" s="30">
        <v>442678.2</v>
      </c>
      <c r="J41" s="28">
        <f t="shared" si="1"/>
        <v>1.0931719110955822</v>
      </c>
      <c r="K41" s="83">
        <v>460133</v>
      </c>
      <c r="L41" s="24">
        <v>2208657.3679999202</v>
      </c>
      <c r="M41" s="27">
        <v>33</v>
      </c>
      <c r="N41" s="26"/>
      <c r="O41" s="26">
        <f t="shared" si="8"/>
        <v>2208657.3679999202</v>
      </c>
      <c r="P41" s="26"/>
      <c r="Q41" s="26">
        <f t="shared" si="2"/>
        <v>0</v>
      </c>
      <c r="R41" s="83">
        <v>530355</v>
      </c>
      <c r="S41" s="25">
        <f t="shared" si="5"/>
        <v>432469</v>
      </c>
      <c r="T41" s="25">
        <f t="shared" si="6"/>
        <v>8649.380000000001</v>
      </c>
      <c r="U41" s="59">
        <f>T41+S41</f>
        <v>441118.38</v>
      </c>
    </row>
    <row r="42" spans="1:21" ht="13.5" customHeight="1" x14ac:dyDescent="0.25">
      <c r="A42" s="83">
        <v>530359</v>
      </c>
      <c r="B42" s="88" t="s">
        <v>122</v>
      </c>
      <c r="C42" s="85" t="s">
        <v>7</v>
      </c>
      <c r="D42" s="31">
        <v>35.68</v>
      </c>
      <c r="E42" s="90">
        <v>15332</v>
      </c>
      <c r="F42" s="29">
        <f t="shared" si="0"/>
        <v>547045.76</v>
      </c>
      <c r="G42" s="29">
        <f t="shared" si="3"/>
        <v>304368.29818089586</v>
      </c>
      <c r="H42" s="24">
        <v>220897</v>
      </c>
      <c r="I42" s="30">
        <v>231698.08399999441</v>
      </c>
      <c r="J42" s="28">
        <f t="shared" si="1"/>
        <v>1.3449916224936265</v>
      </c>
      <c r="K42" s="83">
        <v>470141</v>
      </c>
      <c r="L42" s="24">
        <v>1468456</v>
      </c>
      <c r="M42" s="27">
        <v>34</v>
      </c>
      <c r="N42" s="26"/>
      <c r="O42" s="26">
        <f t="shared" si="8"/>
        <v>1468456</v>
      </c>
      <c r="P42" s="26"/>
      <c r="Q42" s="26">
        <f t="shared" si="2"/>
        <v>0</v>
      </c>
      <c r="R42" s="83">
        <v>530359</v>
      </c>
      <c r="S42" s="25">
        <f t="shared" si="5"/>
        <v>231698.08399999441</v>
      </c>
      <c r="T42" s="25">
        <f t="shared" si="6"/>
        <v>4633.9616799998885</v>
      </c>
      <c r="U42" s="59">
        <f t="shared" si="7"/>
        <v>236332.04567999431</v>
      </c>
    </row>
    <row r="43" spans="1:21" ht="13.5" customHeight="1" x14ac:dyDescent="0.25">
      <c r="A43" s="83">
        <v>530365</v>
      </c>
      <c r="B43" s="88" t="s">
        <v>123</v>
      </c>
      <c r="C43" s="85" t="s">
        <v>7</v>
      </c>
      <c r="D43" s="31">
        <v>35.68</v>
      </c>
      <c r="E43" s="90">
        <v>12843</v>
      </c>
      <c r="F43" s="29">
        <f t="shared" si="0"/>
        <v>458238.24</v>
      </c>
      <c r="G43" s="29">
        <f t="shared" si="3"/>
        <v>254957.08671649138</v>
      </c>
      <c r="H43" s="24">
        <v>219045</v>
      </c>
      <c r="I43" s="30">
        <v>246499.04</v>
      </c>
      <c r="J43" s="28">
        <f>G43/AVERAGE(H43,I43)</f>
        <v>1.0953081333250076</v>
      </c>
      <c r="K43" s="83">
        <v>510299</v>
      </c>
      <c r="L43" s="24">
        <v>659222</v>
      </c>
      <c r="M43" s="27">
        <v>35</v>
      </c>
      <c r="N43" s="26"/>
      <c r="O43" s="26">
        <f t="shared" si="8"/>
        <v>659222</v>
      </c>
      <c r="P43" s="26"/>
      <c r="Q43" s="26">
        <f t="shared" si="2"/>
        <v>0</v>
      </c>
      <c r="R43" s="83">
        <v>530365</v>
      </c>
      <c r="S43" s="25">
        <f t="shared" si="5"/>
        <v>240949.5</v>
      </c>
      <c r="T43" s="25">
        <f t="shared" si="6"/>
        <v>4818.99</v>
      </c>
      <c r="U43" s="59">
        <f t="shared" si="7"/>
        <v>245768.49</v>
      </c>
    </row>
    <row r="44" spans="1:21" ht="13.5" customHeight="1" x14ac:dyDescent="0.25">
      <c r="A44" s="83">
        <v>530396</v>
      </c>
      <c r="B44" s="84" t="s">
        <v>124</v>
      </c>
      <c r="C44" s="85" t="s">
        <v>9</v>
      </c>
      <c r="D44" s="31">
        <v>43.18</v>
      </c>
      <c r="E44" s="90">
        <v>16999</v>
      </c>
      <c r="F44" s="29">
        <f t="shared" si="0"/>
        <v>734016.82</v>
      </c>
      <c r="G44" s="29">
        <f t="shared" si="3"/>
        <v>408396.27445344417</v>
      </c>
      <c r="H44" s="24">
        <v>393223</v>
      </c>
      <c r="I44" s="30">
        <v>412206.8559999853</v>
      </c>
      <c r="J44" s="28">
        <f t="shared" si="1"/>
        <v>1.0141076132480782</v>
      </c>
      <c r="K44" s="83">
        <v>450046</v>
      </c>
      <c r="L44" s="24">
        <v>175320.84399999821</v>
      </c>
      <c r="M44" s="27">
        <v>36</v>
      </c>
      <c r="N44" s="26"/>
      <c r="O44" s="26">
        <f t="shared" si="8"/>
        <v>175320.84399999821</v>
      </c>
      <c r="P44" s="26"/>
      <c r="Q44" s="26">
        <f t="shared" si="2"/>
        <v>0</v>
      </c>
      <c r="R44" s="83">
        <v>530396</v>
      </c>
      <c r="S44" s="25">
        <f t="shared" si="5"/>
        <v>412206.8559999853</v>
      </c>
      <c r="T44" s="25">
        <f t="shared" si="6"/>
        <v>0</v>
      </c>
      <c r="U44" s="59">
        <f t="shared" si="7"/>
        <v>412206.8559999853</v>
      </c>
    </row>
    <row r="45" spans="1:21" ht="13.5" customHeight="1" x14ac:dyDescent="0.25">
      <c r="A45" s="83">
        <v>530439</v>
      </c>
      <c r="B45" s="86" t="s">
        <v>125</v>
      </c>
      <c r="C45" s="85" t="s">
        <v>9</v>
      </c>
      <c r="D45" s="31">
        <v>43.18</v>
      </c>
      <c r="E45" s="90">
        <v>17619</v>
      </c>
      <c r="F45" s="29">
        <f t="shared" si="0"/>
        <v>760788.42</v>
      </c>
      <c r="G45" s="29">
        <f t="shared" si="3"/>
        <v>423291.6030116615</v>
      </c>
      <c r="H45" s="24">
        <v>375234</v>
      </c>
      <c r="I45" s="30">
        <v>382815.06099999242</v>
      </c>
      <c r="J45" s="28">
        <f t="shared" si="1"/>
        <v>1.1167921043349613</v>
      </c>
      <c r="K45" s="84">
        <v>440018</v>
      </c>
      <c r="L45" s="24">
        <v>709616.71800004377</v>
      </c>
      <c r="M45" s="27">
        <v>37</v>
      </c>
      <c r="N45" s="26"/>
      <c r="O45" s="26">
        <f t="shared" si="8"/>
        <v>709616.71800004377</v>
      </c>
      <c r="P45" s="26"/>
      <c r="Q45" s="26">
        <f t="shared" si="2"/>
        <v>0</v>
      </c>
      <c r="R45" s="83">
        <v>530439</v>
      </c>
      <c r="S45" s="25">
        <f t="shared" si="5"/>
        <v>382815.06099999242</v>
      </c>
      <c r="T45" s="25">
        <f t="shared" si="6"/>
        <v>7656.3012199998484</v>
      </c>
      <c r="U45" s="59">
        <f t="shared" si="7"/>
        <v>390471.36221999227</v>
      </c>
    </row>
    <row r="46" spans="1:21" ht="13.5" customHeight="1" x14ac:dyDescent="0.25">
      <c r="A46" s="83">
        <v>530444</v>
      </c>
      <c r="B46" s="84" t="s">
        <v>91</v>
      </c>
      <c r="C46" s="85" t="s">
        <v>6</v>
      </c>
      <c r="D46" s="31">
        <v>76.17</v>
      </c>
      <c r="E46" s="90">
        <v>118485</v>
      </c>
      <c r="F46" s="29">
        <f t="shared" si="0"/>
        <v>9025002.4500000011</v>
      </c>
      <c r="G46" s="29">
        <f t="shared" si="3"/>
        <v>5021379.9971412197</v>
      </c>
      <c r="H46" s="24">
        <v>6112197</v>
      </c>
      <c r="I46" s="30">
        <v>6739465.9299999997</v>
      </c>
      <c r="J46" s="28">
        <f t="shared" si="1"/>
        <v>0.78143661633385519</v>
      </c>
      <c r="K46" s="83">
        <v>450069</v>
      </c>
      <c r="L46" s="24">
        <v>304570</v>
      </c>
      <c r="M46" s="27">
        <v>38</v>
      </c>
      <c r="N46" s="26"/>
      <c r="O46" s="26">
        <f t="shared" si="8"/>
        <v>304570</v>
      </c>
      <c r="P46" s="26"/>
      <c r="Q46" s="26">
        <f t="shared" si="2"/>
        <v>0</v>
      </c>
      <c r="R46" s="83">
        <v>530444</v>
      </c>
      <c r="S46" s="25">
        <f t="shared" si="5"/>
        <v>6723416</v>
      </c>
      <c r="T46" s="25">
        <f t="shared" si="6"/>
        <v>-111085.34640000001</v>
      </c>
      <c r="U46" s="59">
        <f t="shared" si="7"/>
        <v>6612330.6535999998</v>
      </c>
    </row>
    <row r="47" spans="1:21" ht="13.5" customHeight="1" x14ac:dyDescent="0.25">
      <c r="A47" s="84" t="s">
        <v>126</v>
      </c>
      <c r="B47" s="84" t="s">
        <v>127</v>
      </c>
      <c r="C47" s="85" t="s">
        <v>6</v>
      </c>
      <c r="D47" s="31">
        <v>76.17</v>
      </c>
      <c r="E47" s="90">
        <v>10637</v>
      </c>
      <c r="F47" s="29">
        <f t="shared" si="0"/>
        <v>810220.29</v>
      </c>
      <c r="G47" s="29">
        <f t="shared" si="3"/>
        <v>450794.77595975145</v>
      </c>
      <c r="H47" s="24">
        <v>1100391</v>
      </c>
      <c r="I47" s="30">
        <v>1143948.6200000092</v>
      </c>
      <c r="J47" s="28">
        <f t="shared" si="1"/>
        <v>0.40171707699011217</v>
      </c>
      <c r="K47" s="83">
        <v>440079</v>
      </c>
      <c r="L47" s="24">
        <v>205946.39799999792</v>
      </c>
      <c r="M47" s="27">
        <v>39</v>
      </c>
      <c r="N47" s="26"/>
      <c r="O47" s="26">
        <f>+L47</f>
        <v>205946.39799999792</v>
      </c>
      <c r="P47" s="26"/>
      <c r="Q47" s="26">
        <f t="shared" si="2"/>
        <v>0</v>
      </c>
      <c r="R47" s="84" t="s">
        <v>126</v>
      </c>
      <c r="S47" s="25">
        <f t="shared" si="5"/>
        <v>1143948.6200000092</v>
      </c>
      <c r="T47" s="25">
        <f t="shared" si="6"/>
        <v>-22878.972400000184</v>
      </c>
      <c r="U47" s="59">
        <f t="shared" si="7"/>
        <v>1121069.6476000091</v>
      </c>
    </row>
    <row r="48" spans="1:21" ht="13.5" customHeight="1" x14ac:dyDescent="0.25">
      <c r="A48" s="84" t="s">
        <v>128</v>
      </c>
      <c r="B48" s="84" t="s">
        <v>129</v>
      </c>
      <c r="C48" s="85" t="s">
        <v>9</v>
      </c>
      <c r="D48" s="31">
        <v>43.18</v>
      </c>
      <c r="E48" s="90">
        <v>7716</v>
      </c>
      <c r="F48" s="29">
        <f t="shared" si="0"/>
        <v>333176.88</v>
      </c>
      <c r="G48" s="29">
        <f t="shared" si="3"/>
        <v>185374.76637936206</v>
      </c>
      <c r="H48" s="24">
        <v>359313</v>
      </c>
      <c r="I48" s="30">
        <v>445931</v>
      </c>
      <c r="J48" s="28">
        <f t="shared" si="1"/>
        <v>0.46041887025389089</v>
      </c>
      <c r="K48" s="83">
        <v>530444</v>
      </c>
      <c r="L48" s="24">
        <v>6723416</v>
      </c>
      <c r="M48" s="27">
        <v>40</v>
      </c>
      <c r="N48" s="26"/>
      <c r="O48" s="26">
        <v>1169148.68</v>
      </c>
      <c r="P48" s="26">
        <f>+L48-O48</f>
        <v>5554267.3200000003</v>
      </c>
      <c r="Q48" s="26">
        <f t="shared" si="2"/>
        <v>-111085.34640000001</v>
      </c>
      <c r="R48" s="84" t="s">
        <v>128</v>
      </c>
      <c r="S48" s="25">
        <f t="shared" si="5"/>
        <v>395244</v>
      </c>
      <c r="T48" s="25">
        <f t="shared" si="6"/>
        <v>-7904.88</v>
      </c>
      <c r="U48" s="59">
        <f t="shared" si="7"/>
        <v>387339.12</v>
      </c>
    </row>
    <row r="49" spans="1:21" ht="13.5" customHeight="1" x14ac:dyDescent="0.25">
      <c r="A49" s="84" t="s">
        <v>130</v>
      </c>
      <c r="B49" s="84" t="s">
        <v>10</v>
      </c>
      <c r="C49" s="85" t="s">
        <v>9</v>
      </c>
      <c r="D49" s="31">
        <v>43.18</v>
      </c>
      <c r="E49" s="90">
        <v>26722</v>
      </c>
      <c r="F49" s="29">
        <f t="shared" si="0"/>
        <v>1153855.96</v>
      </c>
      <c r="G49" s="29">
        <f t="shared" si="3"/>
        <v>641988.66085916432</v>
      </c>
      <c r="H49" s="24">
        <v>419517</v>
      </c>
      <c r="I49" s="30">
        <v>440034.69199999055</v>
      </c>
      <c r="J49" s="28">
        <f t="shared" si="1"/>
        <v>1.4937755735560145</v>
      </c>
      <c r="K49" s="83">
        <v>520314</v>
      </c>
      <c r="L49" s="24">
        <v>544402</v>
      </c>
      <c r="M49" s="27">
        <v>41</v>
      </c>
      <c r="N49" s="26"/>
      <c r="O49" s="26"/>
      <c r="P49" s="26">
        <f>+L49</f>
        <v>544402</v>
      </c>
      <c r="Q49" s="26">
        <f t="shared" si="2"/>
        <v>-10888.04</v>
      </c>
      <c r="R49" s="84" t="s">
        <v>130</v>
      </c>
      <c r="S49" s="25">
        <f t="shared" si="5"/>
        <v>440034.69199999055</v>
      </c>
      <c r="T49" s="25">
        <f t="shared" si="6"/>
        <v>8800.6938399998107</v>
      </c>
      <c r="U49" s="59">
        <f t="shared" si="7"/>
        <v>448835.38583999034</v>
      </c>
    </row>
    <row r="50" spans="1:21" ht="13.5" customHeight="1" x14ac:dyDescent="0.25">
      <c r="A50" s="84" t="s">
        <v>131</v>
      </c>
      <c r="B50" s="84" t="s">
        <v>132</v>
      </c>
      <c r="C50" s="85" t="s">
        <v>9</v>
      </c>
      <c r="D50" s="31">
        <v>43.18</v>
      </c>
      <c r="E50" s="90">
        <v>56048</v>
      </c>
      <c r="F50" s="29">
        <f t="shared" si="0"/>
        <v>2420152.64</v>
      </c>
      <c r="G50" s="29">
        <f t="shared" si="3"/>
        <v>1346537.7016628415</v>
      </c>
      <c r="H50" s="24">
        <v>793485</v>
      </c>
      <c r="I50" s="30">
        <v>839466.54700003203</v>
      </c>
      <c r="J50" s="28">
        <f t="shared" si="1"/>
        <v>1.649207172296846</v>
      </c>
      <c r="K50" s="83">
        <v>490248</v>
      </c>
      <c r="L50" s="24">
        <v>443239</v>
      </c>
      <c r="M50" s="27">
        <v>42</v>
      </c>
      <c r="N50" s="26"/>
      <c r="O50" s="26"/>
      <c r="P50" s="26">
        <f t="shared" ref="P50:P53" si="9">+L50</f>
        <v>443239</v>
      </c>
      <c r="Q50" s="26">
        <f t="shared" si="2"/>
        <v>-8864.7800000000007</v>
      </c>
      <c r="R50" s="84" t="s">
        <v>131</v>
      </c>
      <c r="S50" s="25">
        <f t="shared" si="5"/>
        <v>839466.54700003203</v>
      </c>
      <c r="T50" s="25">
        <f t="shared" si="6"/>
        <v>16789.33094000064</v>
      </c>
      <c r="U50" s="59">
        <f t="shared" si="7"/>
        <v>856255.87794003263</v>
      </c>
    </row>
    <row r="51" spans="1:21" ht="13.5" customHeight="1" x14ac:dyDescent="0.25">
      <c r="A51" s="84" t="s">
        <v>133</v>
      </c>
      <c r="B51" s="84" t="s">
        <v>134</v>
      </c>
      <c r="C51" s="85" t="s">
        <v>7</v>
      </c>
      <c r="D51" s="31">
        <v>35.68</v>
      </c>
      <c r="E51" s="90">
        <v>0</v>
      </c>
      <c r="F51" s="29">
        <f t="shared" si="0"/>
        <v>0</v>
      </c>
      <c r="G51" s="29">
        <f t="shared" si="3"/>
        <v>0</v>
      </c>
      <c r="H51" s="24">
        <v>8586</v>
      </c>
      <c r="I51" s="30">
        <v>0</v>
      </c>
      <c r="J51" s="28" t="s">
        <v>172</v>
      </c>
      <c r="K51" s="83">
        <v>440075</v>
      </c>
      <c r="L51" s="24">
        <v>1219632.0750001185</v>
      </c>
      <c r="M51" s="27">
        <v>43</v>
      </c>
      <c r="N51" s="26"/>
      <c r="O51" s="26"/>
      <c r="P51" s="26">
        <f t="shared" si="9"/>
        <v>1219632.0750001185</v>
      </c>
      <c r="Q51" s="26">
        <f t="shared" si="2"/>
        <v>-24392.64150000237</v>
      </c>
      <c r="R51" s="84" t="s">
        <v>133</v>
      </c>
      <c r="S51" s="25">
        <f t="shared" si="5"/>
        <v>103032</v>
      </c>
      <c r="T51" s="25">
        <f t="shared" si="6"/>
        <v>0</v>
      </c>
      <c r="U51" s="59">
        <f t="shared" si="7"/>
        <v>103032</v>
      </c>
    </row>
    <row r="52" spans="1:21" ht="13.5" customHeight="1" x14ac:dyDescent="0.25">
      <c r="A52" s="134" t="s">
        <v>135</v>
      </c>
      <c r="B52" s="134" t="s">
        <v>136</v>
      </c>
      <c r="C52" s="136" t="s">
        <v>7</v>
      </c>
      <c r="D52" s="137">
        <v>35.68</v>
      </c>
      <c r="E52" s="90">
        <v>0</v>
      </c>
      <c r="F52" s="29">
        <f t="shared" si="0"/>
        <v>0</v>
      </c>
      <c r="G52" s="29">
        <f t="shared" si="3"/>
        <v>0</v>
      </c>
      <c r="H52" s="24">
        <v>8586</v>
      </c>
      <c r="I52" s="30">
        <v>0</v>
      </c>
      <c r="J52" s="28" t="s">
        <v>171</v>
      </c>
      <c r="K52" s="84" t="s">
        <v>128</v>
      </c>
      <c r="L52" s="24">
        <v>395244</v>
      </c>
      <c r="M52" s="27">
        <v>44</v>
      </c>
      <c r="N52" s="26"/>
      <c r="O52" s="26"/>
      <c r="P52" s="26">
        <f t="shared" si="9"/>
        <v>395244</v>
      </c>
      <c r="Q52" s="26">
        <f t="shared" si="2"/>
        <v>-7904.88</v>
      </c>
      <c r="R52" s="89" t="s">
        <v>135</v>
      </c>
      <c r="S52" s="25">
        <f t="shared" si="5"/>
        <v>103032</v>
      </c>
      <c r="T52" s="25">
        <f t="shared" si="6"/>
        <v>0</v>
      </c>
      <c r="U52" s="59">
        <f t="shared" si="7"/>
        <v>103032</v>
      </c>
    </row>
    <row r="53" spans="1:21" ht="13.5" customHeight="1" x14ac:dyDescent="0.25">
      <c r="A53" s="134" t="s">
        <v>137</v>
      </c>
      <c r="B53" s="134" t="s">
        <v>138</v>
      </c>
      <c r="C53" s="136" t="s">
        <v>7</v>
      </c>
      <c r="D53" s="137">
        <v>35.68</v>
      </c>
      <c r="E53" s="90">
        <v>0</v>
      </c>
      <c r="F53" s="29">
        <f t="shared" si="0"/>
        <v>0</v>
      </c>
      <c r="G53" s="29">
        <f t="shared" si="3"/>
        <v>0</v>
      </c>
      <c r="H53" s="24">
        <v>0</v>
      </c>
      <c r="I53" s="30">
        <v>0</v>
      </c>
      <c r="J53" s="28" t="s">
        <v>172</v>
      </c>
      <c r="K53" s="84" t="s">
        <v>126</v>
      </c>
      <c r="L53" s="24">
        <v>1143948.6200000092</v>
      </c>
      <c r="M53" s="27">
        <v>45</v>
      </c>
      <c r="N53" s="26"/>
      <c r="O53" s="26"/>
      <c r="P53" s="26">
        <f t="shared" si="9"/>
        <v>1143948.6200000092</v>
      </c>
      <c r="Q53" s="26">
        <f t="shared" si="2"/>
        <v>-22878.972400000184</v>
      </c>
      <c r="R53" s="89" t="s">
        <v>137</v>
      </c>
      <c r="S53" s="25">
        <f t="shared" si="5"/>
        <v>34344</v>
      </c>
      <c r="T53" s="25">
        <f t="shared" si="6"/>
        <v>0</v>
      </c>
      <c r="U53" s="59">
        <f t="shared" si="7"/>
        <v>34344</v>
      </c>
    </row>
    <row r="54" spans="1:21" ht="14.45" customHeight="1" x14ac:dyDescent="0.25">
      <c r="B54" s="23" t="s">
        <v>5</v>
      </c>
      <c r="D54" s="22"/>
      <c r="E54" s="18">
        <f>SUM(E6:E53)</f>
        <v>974417</v>
      </c>
      <c r="F54" s="18">
        <f>SUM(F6:F53)</f>
        <v>50149045.620000012</v>
      </c>
      <c r="G54" s="91">
        <v>27902199.024000321</v>
      </c>
      <c r="H54" s="18">
        <f>SUM(H6:H53)</f>
        <v>26129110</v>
      </c>
      <c r="I54" s="21">
        <f>SUM(I6:I53)</f>
        <v>27859179.311000537</v>
      </c>
      <c r="J54" s="55">
        <f t="shared" si="1"/>
        <v>1.0336389383730678</v>
      </c>
      <c r="K54" s="20"/>
      <c r="L54" s="20">
        <f>SUM(L6:L53)</f>
        <v>27902199.024000324</v>
      </c>
      <c r="M54" s="20"/>
      <c r="N54" s="20">
        <f>SUM(N6:N53)</f>
        <v>9300733.0050000548</v>
      </c>
      <c r="O54" s="20">
        <f>SUM(O34:O53)</f>
        <v>9300733.0040001441</v>
      </c>
      <c r="P54" s="20">
        <f>SUM(P44:P53)</f>
        <v>9300733.0150001273</v>
      </c>
      <c r="Q54" s="20">
        <f>SUM(Q6:Q40)</f>
        <v>186014.66010000111</v>
      </c>
      <c r="R54" s="19"/>
      <c r="S54" s="25">
        <f>SUM(S6:S53)</f>
        <v>27902199.024000321</v>
      </c>
      <c r="T54" s="19">
        <f>SUM(T6:T53)</f>
        <v>-2.0000142103526741E-4</v>
      </c>
      <c r="U54" s="19">
        <f>SUM(U6:U53)</f>
        <v>27902199.023800321</v>
      </c>
    </row>
    <row r="55" spans="1:21" ht="16.899999999999999" customHeight="1" x14ac:dyDescent="0.25">
      <c r="A55" s="79" t="s">
        <v>82</v>
      </c>
      <c r="K55" s="17" t="s">
        <v>4</v>
      </c>
      <c r="L55" s="16">
        <f>L54/3</f>
        <v>9300733.0080001075</v>
      </c>
      <c r="M55" s="15"/>
      <c r="N55" s="92">
        <f>$L55-N54</f>
        <v>3.0000526458024979E-3</v>
      </c>
      <c r="O55" s="92">
        <f>$L55-O54</f>
        <v>3.9999634027481079E-3</v>
      </c>
      <c r="P55" s="14">
        <f>$L55-P54</f>
        <v>-7.0000197738409042E-3</v>
      </c>
    </row>
    <row r="56" spans="1:21" x14ac:dyDescent="0.25">
      <c r="A56" s="79" t="s">
        <v>81</v>
      </c>
    </row>
    <row r="57" spans="1:21" ht="18.75" x14ac:dyDescent="0.3">
      <c r="E57" s="13"/>
      <c r="K57" s="138" t="s">
        <v>45</v>
      </c>
      <c r="L57" s="138"/>
      <c r="M57" s="138"/>
      <c r="N57" s="138"/>
    </row>
    <row r="58" spans="1:21" ht="39.6" customHeight="1" x14ac:dyDescent="0.3">
      <c r="A58" s="100"/>
      <c r="B58" s="103"/>
      <c r="C58" s="101"/>
      <c r="D58" s="101"/>
      <c r="K58" s="12" t="s">
        <v>43</v>
      </c>
      <c r="L58" s="10" t="s">
        <v>2</v>
      </c>
      <c r="M58" s="53" t="s">
        <v>22</v>
      </c>
      <c r="N58" s="10" t="s">
        <v>0</v>
      </c>
      <c r="P58" s="54"/>
    </row>
    <row r="59" spans="1:21" x14ac:dyDescent="0.25">
      <c r="A59" s="100"/>
      <c r="B59" s="101"/>
      <c r="C59" s="102"/>
      <c r="D59" s="104"/>
      <c r="H59" s="117"/>
      <c r="I59" s="115"/>
      <c r="K59" s="28" t="s">
        <v>172</v>
      </c>
      <c r="L59" s="84" t="s">
        <v>133</v>
      </c>
      <c r="M59" s="24">
        <v>103032</v>
      </c>
      <c r="N59" s="5">
        <v>5</v>
      </c>
    </row>
    <row r="60" spans="1:21" x14ac:dyDescent="0.25">
      <c r="A60" s="100"/>
      <c r="B60" s="101"/>
      <c r="C60" s="102"/>
      <c r="D60" s="104"/>
      <c r="H60" s="117"/>
      <c r="I60" s="118"/>
      <c r="K60" s="28" t="s">
        <v>172</v>
      </c>
      <c r="L60" s="135" t="s">
        <v>137</v>
      </c>
      <c r="M60" s="24">
        <v>34344</v>
      </c>
      <c r="N60" s="5">
        <v>42</v>
      </c>
    </row>
    <row r="61" spans="1:21" x14ac:dyDescent="0.25">
      <c r="A61" s="100"/>
      <c r="B61" s="101"/>
      <c r="C61" s="102"/>
      <c r="D61" s="104"/>
      <c r="H61" s="117"/>
      <c r="I61" s="118"/>
      <c r="K61" s="28" t="s">
        <v>171</v>
      </c>
      <c r="L61" s="135" t="s">
        <v>135</v>
      </c>
      <c r="M61" s="24">
        <v>103032</v>
      </c>
      <c r="N61" s="5">
        <v>43</v>
      </c>
    </row>
    <row r="62" spans="1:21" x14ac:dyDescent="0.25">
      <c r="A62" s="100"/>
      <c r="B62" s="101"/>
      <c r="C62" s="102"/>
      <c r="D62" s="104"/>
      <c r="H62" s="117"/>
      <c r="I62" s="116"/>
      <c r="K62" s="28">
        <v>27.567929519978648</v>
      </c>
      <c r="L62" s="83">
        <v>480212</v>
      </c>
      <c r="M62" s="24">
        <v>4641</v>
      </c>
      <c r="N62" s="5">
        <v>23</v>
      </c>
      <c r="P62" s="7"/>
    </row>
    <row r="63" spans="1:21" x14ac:dyDescent="0.25">
      <c r="A63" s="100"/>
      <c r="B63" s="101"/>
      <c r="C63" s="102"/>
      <c r="D63" s="104"/>
      <c r="H63" s="117"/>
      <c r="I63" s="116"/>
      <c r="K63" s="28">
        <v>5.3711365253876817</v>
      </c>
      <c r="L63" s="83">
        <v>470145</v>
      </c>
      <c r="M63" s="24">
        <v>41859.441999999734</v>
      </c>
      <c r="N63" s="5">
        <v>22</v>
      </c>
      <c r="P63" s="7"/>
    </row>
    <row r="64" spans="1:21" x14ac:dyDescent="0.25">
      <c r="A64" s="100"/>
      <c r="B64" s="101"/>
      <c r="C64" s="102"/>
      <c r="D64" s="104"/>
      <c r="H64" s="117"/>
      <c r="I64" s="116"/>
      <c r="K64" s="28">
        <v>4.2977749947544517</v>
      </c>
      <c r="L64" s="83">
        <v>450070</v>
      </c>
      <c r="M64" s="24">
        <v>96303</v>
      </c>
      <c r="N64" s="5">
        <v>28</v>
      </c>
    </row>
    <row r="65" spans="1:16" x14ac:dyDescent="0.25">
      <c r="A65" s="100"/>
      <c r="B65" s="101"/>
      <c r="C65" s="102"/>
      <c r="D65" s="104"/>
      <c r="H65" s="117"/>
      <c r="I65" s="116"/>
      <c r="K65" s="28">
        <v>4.2611240243101358</v>
      </c>
      <c r="L65" s="83">
        <v>440011</v>
      </c>
      <c r="M65" s="24">
        <v>90383</v>
      </c>
      <c r="N65" s="5">
        <v>48</v>
      </c>
      <c r="P65" s="3"/>
    </row>
    <row r="66" spans="1:16" x14ac:dyDescent="0.25">
      <c r="A66" s="100"/>
      <c r="B66" s="101"/>
      <c r="C66" s="102"/>
      <c r="D66" s="104"/>
      <c r="H66" s="117"/>
      <c r="I66" s="116"/>
      <c r="K66" s="28">
        <v>3.7205120529009945</v>
      </c>
      <c r="L66" s="83">
        <v>440073</v>
      </c>
      <c r="M66" s="24">
        <v>39870.943000000108</v>
      </c>
      <c r="N66" s="5">
        <v>21</v>
      </c>
      <c r="P66" s="3"/>
    </row>
    <row r="67" spans="1:16" x14ac:dyDescent="0.25">
      <c r="A67" s="100"/>
      <c r="B67" s="101"/>
      <c r="C67" s="102"/>
      <c r="D67" s="104"/>
      <c r="H67" s="117"/>
      <c r="I67" s="116"/>
      <c r="K67" s="28">
        <v>2.4000412866829137</v>
      </c>
      <c r="L67" s="83">
        <v>500233</v>
      </c>
      <c r="M67" s="24">
        <v>171233.31899999524</v>
      </c>
      <c r="N67" s="5">
        <v>19</v>
      </c>
      <c r="P67" s="3"/>
    </row>
    <row r="68" spans="1:16" x14ac:dyDescent="0.25">
      <c r="A68" s="100"/>
      <c r="B68" s="101"/>
      <c r="C68" s="102"/>
      <c r="D68" s="104"/>
      <c r="H68" s="117"/>
      <c r="I68" s="116"/>
      <c r="K68" s="28">
        <v>2.1643916836095807</v>
      </c>
      <c r="L68" s="83">
        <v>440009</v>
      </c>
      <c r="M68" s="24">
        <v>58095</v>
      </c>
      <c r="N68" s="5">
        <v>46</v>
      </c>
      <c r="P68" s="3"/>
    </row>
    <row r="69" spans="1:16" x14ac:dyDescent="0.25">
      <c r="A69" s="100"/>
      <c r="B69" s="101"/>
      <c r="C69" s="102"/>
      <c r="D69" s="104"/>
      <c r="H69" s="117"/>
      <c r="I69" s="116"/>
      <c r="K69" s="28">
        <v>2.1003944315072505</v>
      </c>
      <c r="L69" s="83">
        <v>500232</v>
      </c>
      <c r="M69" s="24">
        <v>67206.731000000407</v>
      </c>
      <c r="N69" s="5">
        <v>14</v>
      </c>
      <c r="P69" s="3"/>
    </row>
    <row r="70" spans="1:16" x14ac:dyDescent="0.25">
      <c r="A70" s="100"/>
      <c r="B70" s="101"/>
      <c r="C70" s="102"/>
      <c r="D70" s="104"/>
      <c r="H70" s="117"/>
      <c r="I70" s="116"/>
      <c r="K70" s="28">
        <v>2.0295360319723565</v>
      </c>
      <c r="L70" s="83">
        <v>520316</v>
      </c>
      <c r="M70" s="24">
        <v>269687.10300000408</v>
      </c>
      <c r="N70" s="5">
        <v>39</v>
      </c>
      <c r="P70" s="7"/>
    </row>
    <row r="71" spans="1:16" x14ac:dyDescent="0.25">
      <c r="A71" s="100"/>
      <c r="B71" s="101"/>
      <c r="C71" s="102"/>
      <c r="D71" s="104"/>
      <c r="H71" s="117"/>
      <c r="I71" s="116"/>
      <c r="K71" s="28">
        <v>1.7744938197764839</v>
      </c>
      <c r="L71" s="83">
        <v>520333</v>
      </c>
      <c r="M71" s="24">
        <v>347630.4</v>
      </c>
      <c r="N71" s="5">
        <v>13</v>
      </c>
      <c r="P71" s="7"/>
    </row>
    <row r="72" spans="1:16" x14ac:dyDescent="0.25">
      <c r="A72" s="100"/>
      <c r="B72" s="101"/>
      <c r="C72" s="102"/>
      <c r="D72" s="104"/>
      <c r="H72" s="117"/>
      <c r="I72" s="116"/>
      <c r="K72" s="28">
        <v>1.7137236834494418</v>
      </c>
      <c r="L72" s="83">
        <v>510271</v>
      </c>
      <c r="M72" s="24">
        <v>137308</v>
      </c>
      <c r="N72" s="5">
        <v>36</v>
      </c>
      <c r="P72" s="3"/>
    </row>
    <row r="73" spans="1:16" x14ac:dyDescent="0.25">
      <c r="A73" s="100"/>
      <c r="B73" s="101"/>
      <c r="C73" s="102"/>
      <c r="D73" s="104"/>
      <c r="H73" s="117"/>
      <c r="I73" s="115"/>
      <c r="K73" s="28">
        <v>1.649207172296846</v>
      </c>
      <c r="L73" s="84" t="s">
        <v>131</v>
      </c>
      <c r="M73" s="24">
        <v>839466.54700003203</v>
      </c>
      <c r="N73" s="5">
        <v>24</v>
      </c>
      <c r="P73" s="3"/>
    </row>
    <row r="74" spans="1:16" x14ac:dyDescent="0.25">
      <c r="A74" s="100"/>
      <c r="B74" s="101"/>
      <c r="C74" s="102"/>
      <c r="D74" s="104"/>
      <c r="H74" s="117"/>
      <c r="I74" s="116"/>
      <c r="K74" s="28">
        <v>1.6150742181584195</v>
      </c>
      <c r="L74" s="83">
        <v>440076</v>
      </c>
      <c r="M74" s="24">
        <v>367484.06800000119</v>
      </c>
      <c r="N74" s="5">
        <v>2</v>
      </c>
      <c r="P74" s="7"/>
    </row>
    <row r="75" spans="1:16" x14ac:dyDescent="0.25">
      <c r="A75" s="100"/>
      <c r="B75" s="101"/>
      <c r="C75" s="102"/>
      <c r="D75" s="104"/>
      <c r="H75" s="117"/>
      <c r="I75" s="116"/>
      <c r="K75" s="28">
        <v>1.5550365229524434</v>
      </c>
      <c r="L75" s="83">
        <v>470125</v>
      </c>
      <c r="M75" s="24">
        <v>126456</v>
      </c>
      <c r="N75" s="5">
        <v>45</v>
      </c>
      <c r="P75" s="7"/>
    </row>
    <row r="76" spans="1:16" x14ac:dyDescent="0.25">
      <c r="A76" s="100"/>
      <c r="B76" s="101"/>
      <c r="C76" s="102"/>
      <c r="D76" s="104"/>
      <c r="H76" s="117"/>
      <c r="I76" s="116"/>
      <c r="K76" s="28">
        <v>1.5512963368860082</v>
      </c>
      <c r="L76" s="83">
        <v>490241</v>
      </c>
      <c r="M76" s="24">
        <v>294216.22300000512</v>
      </c>
      <c r="N76" s="5">
        <v>37</v>
      </c>
      <c r="P76" s="7"/>
    </row>
    <row r="77" spans="1:16" x14ac:dyDescent="0.25">
      <c r="A77" s="100"/>
      <c r="B77" s="101"/>
      <c r="C77" s="102"/>
      <c r="D77" s="104"/>
      <c r="H77" s="117"/>
      <c r="I77" s="116"/>
      <c r="K77" s="28">
        <v>1.5421719223100236</v>
      </c>
      <c r="L77" s="83">
        <v>460098</v>
      </c>
      <c r="M77" s="24">
        <v>274008.52100000106</v>
      </c>
      <c r="N77" s="5">
        <v>27</v>
      </c>
      <c r="P77" s="7"/>
    </row>
    <row r="78" spans="1:16" x14ac:dyDescent="0.25">
      <c r="A78" s="100"/>
      <c r="B78" s="101"/>
      <c r="C78" s="102"/>
      <c r="D78" s="104"/>
      <c r="H78" s="117"/>
      <c r="I78" s="115"/>
      <c r="K78" s="28">
        <v>1.4937755735560145</v>
      </c>
      <c r="L78" s="84" t="s">
        <v>130</v>
      </c>
      <c r="M78" s="24">
        <v>440034.69199999055</v>
      </c>
      <c r="N78" s="5">
        <v>33</v>
      </c>
      <c r="P78" s="7"/>
    </row>
    <row r="79" spans="1:16" x14ac:dyDescent="0.25">
      <c r="A79" s="100"/>
      <c r="B79" s="101"/>
      <c r="C79" s="102"/>
      <c r="D79" s="104"/>
      <c r="H79" s="117"/>
      <c r="I79" s="116"/>
      <c r="K79" s="28">
        <v>1.3824716582150915</v>
      </c>
      <c r="L79" s="83">
        <v>490246</v>
      </c>
      <c r="M79" s="24">
        <v>497283.97500000033</v>
      </c>
      <c r="N79" s="5">
        <v>25</v>
      </c>
      <c r="P79" s="7"/>
    </row>
    <row r="80" spans="1:16" x14ac:dyDescent="0.25">
      <c r="A80" s="100"/>
      <c r="B80" s="101"/>
      <c r="C80" s="102"/>
      <c r="D80" s="104"/>
      <c r="H80" s="117"/>
      <c r="I80" s="116"/>
      <c r="K80" s="28">
        <v>1.3449916224936265</v>
      </c>
      <c r="L80" s="83">
        <v>530359</v>
      </c>
      <c r="M80" s="24">
        <v>231698.08399999441</v>
      </c>
      <c r="N80" s="5">
        <v>17</v>
      </c>
      <c r="P80" s="7"/>
    </row>
    <row r="81" spans="1:16" x14ac:dyDescent="0.25">
      <c r="A81" s="100"/>
      <c r="B81" s="101"/>
      <c r="C81" s="102"/>
      <c r="D81" s="104"/>
      <c r="H81" s="117"/>
      <c r="I81" s="116"/>
      <c r="K81" s="28">
        <v>1.3009603458116394</v>
      </c>
      <c r="L81" s="83">
        <v>500230</v>
      </c>
      <c r="M81" s="24">
        <v>302669.68500000954</v>
      </c>
      <c r="N81" s="5">
        <v>11</v>
      </c>
      <c r="P81" s="3"/>
    </row>
    <row r="82" spans="1:16" x14ac:dyDescent="0.25">
      <c r="A82" s="100"/>
      <c r="B82" s="101"/>
      <c r="C82" s="102"/>
      <c r="D82" s="104"/>
      <c r="H82" s="117"/>
      <c r="I82" s="116"/>
      <c r="K82" s="28">
        <v>1.2938137478930061</v>
      </c>
      <c r="L82" s="83">
        <v>480181</v>
      </c>
      <c r="M82" s="24">
        <v>225608</v>
      </c>
      <c r="N82" s="5">
        <v>44</v>
      </c>
      <c r="P82" s="3"/>
    </row>
    <row r="83" spans="1:16" x14ac:dyDescent="0.25">
      <c r="A83" s="100"/>
      <c r="B83" s="101"/>
      <c r="C83" s="102"/>
      <c r="D83" s="104"/>
      <c r="H83" s="117"/>
      <c r="I83" s="116"/>
      <c r="K83" s="28">
        <v>1.2691120460255301</v>
      </c>
      <c r="L83" s="83">
        <v>450072</v>
      </c>
      <c r="M83" s="24">
        <v>767297.08200003474</v>
      </c>
      <c r="N83" s="5">
        <v>1</v>
      </c>
      <c r="P83" s="7"/>
    </row>
    <row r="84" spans="1:16" x14ac:dyDescent="0.25">
      <c r="A84" s="100"/>
      <c r="B84" s="101"/>
      <c r="C84" s="102"/>
      <c r="D84" s="104"/>
      <c r="H84" s="117"/>
      <c r="I84" s="116"/>
      <c r="K84" s="28">
        <v>1.2367780008459097</v>
      </c>
      <c r="L84" s="83">
        <v>510270</v>
      </c>
      <c r="M84" s="24">
        <v>170727.32599999948</v>
      </c>
      <c r="N84" s="5">
        <v>38</v>
      </c>
      <c r="P84" s="3"/>
    </row>
    <row r="85" spans="1:16" x14ac:dyDescent="0.25">
      <c r="A85" s="100"/>
      <c r="B85" s="101"/>
      <c r="C85" s="102"/>
      <c r="D85" s="104"/>
      <c r="H85" s="117"/>
      <c r="I85" s="116"/>
      <c r="K85" s="28">
        <v>1.1964806529436791</v>
      </c>
      <c r="L85" s="83">
        <v>460104</v>
      </c>
      <c r="M85" s="24">
        <v>736956.63299999491</v>
      </c>
      <c r="N85" s="5">
        <v>35</v>
      </c>
      <c r="P85" s="7"/>
    </row>
    <row r="86" spans="1:16" x14ac:dyDescent="0.25">
      <c r="A86" s="100"/>
      <c r="B86" s="101"/>
      <c r="C86" s="102"/>
      <c r="D86" s="104"/>
      <c r="H86" s="117"/>
      <c r="I86" s="116"/>
      <c r="K86" s="28">
        <v>1.1223269622732901</v>
      </c>
      <c r="L86" s="83">
        <v>470182</v>
      </c>
      <c r="M86" s="24">
        <v>1138560</v>
      </c>
      <c r="N86" s="5">
        <v>12</v>
      </c>
      <c r="P86" s="7"/>
    </row>
    <row r="87" spans="1:16" x14ac:dyDescent="0.25">
      <c r="A87" s="100"/>
      <c r="B87" s="101"/>
      <c r="C87" s="102"/>
      <c r="D87" s="104"/>
      <c r="H87" s="117"/>
      <c r="I87" s="116"/>
      <c r="K87" s="28">
        <v>1.1167921043349613</v>
      </c>
      <c r="L87" s="83">
        <v>530439</v>
      </c>
      <c r="M87" s="24">
        <v>382815.06099999242</v>
      </c>
      <c r="N87" s="5">
        <v>3</v>
      </c>
      <c r="P87" s="7"/>
    </row>
    <row r="88" spans="1:16" x14ac:dyDescent="0.25">
      <c r="A88" s="100"/>
      <c r="B88" s="101"/>
      <c r="C88" s="102"/>
      <c r="D88" s="104"/>
      <c r="H88" s="117"/>
      <c r="I88" s="116"/>
      <c r="K88" s="28">
        <v>1.0953081333250076</v>
      </c>
      <c r="L88" s="83">
        <v>530365</v>
      </c>
      <c r="M88" s="24">
        <v>240949.5</v>
      </c>
      <c r="N88" s="5">
        <v>32</v>
      </c>
      <c r="P88" s="7"/>
    </row>
    <row r="89" spans="1:16" x14ac:dyDescent="0.25">
      <c r="A89" s="100"/>
      <c r="B89" s="101"/>
      <c r="C89" s="102"/>
      <c r="D89" s="104"/>
      <c r="H89" s="117"/>
      <c r="I89" s="116"/>
      <c r="K89" s="28">
        <v>1.0931719110955822</v>
      </c>
      <c r="L89" s="83">
        <v>530355</v>
      </c>
      <c r="M89" s="24">
        <v>432469</v>
      </c>
      <c r="N89" s="5">
        <v>15</v>
      </c>
      <c r="P89" s="7"/>
    </row>
    <row r="90" spans="1:16" x14ac:dyDescent="0.25">
      <c r="A90" s="100"/>
      <c r="B90" s="101"/>
      <c r="C90" s="102"/>
      <c r="D90" s="104"/>
      <c r="H90" s="117"/>
      <c r="I90" s="116"/>
      <c r="K90" s="28">
        <v>1.0528223283954334</v>
      </c>
      <c r="L90" s="83">
        <v>500231</v>
      </c>
      <c r="M90" s="24">
        <v>1572860.7520002022</v>
      </c>
      <c r="N90" s="5">
        <v>30</v>
      </c>
      <c r="P90" s="7"/>
    </row>
    <row r="91" spans="1:16" x14ac:dyDescent="0.25">
      <c r="A91" s="100"/>
      <c r="B91" s="101"/>
      <c r="C91" s="102"/>
      <c r="D91" s="104"/>
      <c r="H91" s="117"/>
      <c r="I91" s="116"/>
      <c r="K91" s="28">
        <v>1.0388548764311636</v>
      </c>
      <c r="L91" s="83">
        <v>500234</v>
      </c>
      <c r="M91" s="24">
        <v>324787</v>
      </c>
      <c r="N91" s="5">
        <v>40</v>
      </c>
      <c r="P91" s="7"/>
    </row>
    <row r="92" spans="1:16" x14ac:dyDescent="0.25">
      <c r="A92" s="100"/>
      <c r="B92" s="101"/>
      <c r="C92" s="102"/>
      <c r="D92" s="104"/>
      <c r="H92" s="117"/>
      <c r="I92" s="116"/>
      <c r="K92" s="28">
        <v>1.0141076132480782</v>
      </c>
      <c r="L92" s="83">
        <v>530396</v>
      </c>
      <c r="M92" s="24">
        <v>412206.8559999853</v>
      </c>
      <c r="N92" s="5">
        <v>8</v>
      </c>
      <c r="P92" s="7"/>
    </row>
    <row r="93" spans="1:16" x14ac:dyDescent="0.25">
      <c r="A93" s="100"/>
      <c r="B93" s="101"/>
      <c r="C93" s="102"/>
      <c r="D93" s="104"/>
      <c r="H93" s="117"/>
      <c r="I93" s="116"/>
      <c r="K93" s="28">
        <v>0.98228189036343105</v>
      </c>
      <c r="L93" s="83">
        <v>460103</v>
      </c>
      <c r="M93" s="24">
        <v>357347.05799999478</v>
      </c>
      <c r="N93" s="5">
        <v>34</v>
      </c>
      <c r="P93" s="7"/>
    </row>
    <row r="94" spans="1:16" x14ac:dyDescent="0.25">
      <c r="H94" s="117"/>
      <c r="I94" s="116"/>
      <c r="K94" s="28">
        <v>0.95132718174850972</v>
      </c>
      <c r="L94" s="83">
        <v>460133</v>
      </c>
      <c r="M94" s="24">
        <v>2208657.3679999202</v>
      </c>
      <c r="N94" s="5">
        <v>31</v>
      </c>
    </row>
    <row r="95" spans="1:16" x14ac:dyDescent="0.25">
      <c r="H95" s="117"/>
      <c r="I95" s="116"/>
      <c r="K95" s="28">
        <v>0.9415507669252805</v>
      </c>
      <c r="L95" s="83">
        <v>470141</v>
      </c>
      <c r="M95" s="24">
        <v>1468456</v>
      </c>
      <c r="N95" s="5">
        <v>16</v>
      </c>
    </row>
    <row r="96" spans="1:16" x14ac:dyDescent="0.25">
      <c r="H96" s="117"/>
      <c r="I96" s="116"/>
      <c r="K96" s="28">
        <v>0.9100846955332984</v>
      </c>
      <c r="L96" s="83">
        <v>510299</v>
      </c>
      <c r="M96" s="24">
        <v>659222</v>
      </c>
      <c r="N96" s="5">
        <v>26</v>
      </c>
    </row>
    <row r="97" spans="8:14" x14ac:dyDescent="0.25">
      <c r="H97" s="117"/>
      <c r="I97" s="116"/>
      <c r="K97" s="28">
        <v>0.89020693223614022</v>
      </c>
      <c r="L97" s="83">
        <v>450046</v>
      </c>
      <c r="M97" s="24">
        <v>175320.84399999821</v>
      </c>
      <c r="N97" s="5">
        <v>4</v>
      </c>
    </row>
    <row r="98" spans="8:14" x14ac:dyDescent="0.25">
      <c r="H98" s="117"/>
      <c r="I98" s="115"/>
      <c r="K98" s="28">
        <v>0.85677744210001394</v>
      </c>
      <c r="L98" s="84">
        <v>440018</v>
      </c>
      <c r="M98" s="24">
        <v>709616.71800004377</v>
      </c>
      <c r="N98" s="5">
        <v>47</v>
      </c>
    </row>
    <row r="99" spans="8:14" x14ac:dyDescent="0.25">
      <c r="H99" s="117"/>
      <c r="I99" s="116"/>
      <c r="K99" s="28">
        <v>0.83758920749911692</v>
      </c>
      <c r="L99" s="83">
        <v>450069</v>
      </c>
      <c r="M99" s="24">
        <v>304570</v>
      </c>
      <c r="N99" s="5">
        <v>6</v>
      </c>
    </row>
    <row r="100" spans="8:14" x14ac:dyDescent="0.25">
      <c r="H100" s="117"/>
      <c r="I100" s="116"/>
      <c r="K100" s="28">
        <v>0.807161057391932</v>
      </c>
      <c r="L100" s="83">
        <v>440079</v>
      </c>
      <c r="M100" s="24">
        <v>205946.39799999792</v>
      </c>
      <c r="N100" s="5">
        <v>10</v>
      </c>
    </row>
    <row r="101" spans="8:14" x14ac:dyDescent="0.25">
      <c r="H101" s="117"/>
      <c r="I101" s="116"/>
      <c r="K101" s="28">
        <v>0.78143661633385519</v>
      </c>
      <c r="L101" s="83">
        <v>530444</v>
      </c>
      <c r="M101" s="24">
        <v>6723416</v>
      </c>
      <c r="N101" s="5">
        <v>9</v>
      </c>
    </row>
    <row r="102" spans="8:14" x14ac:dyDescent="0.25">
      <c r="H102" s="117"/>
      <c r="I102" s="116"/>
      <c r="K102" s="28">
        <v>0.71713231245199038</v>
      </c>
      <c r="L102" s="83">
        <v>520314</v>
      </c>
      <c r="M102" s="24">
        <v>544402</v>
      </c>
      <c r="N102" s="5">
        <v>29</v>
      </c>
    </row>
    <row r="103" spans="8:14" x14ac:dyDescent="0.25">
      <c r="H103" s="117"/>
      <c r="I103" s="116"/>
      <c r="K103" s="28">
        <v>0.61484042338337386</v>
      </c>
      <c r="L103" s="83">
        <v>490248</v>
      </c>
      <c r="M103" s="24">
        <v>443239</v>
      </c>
      <c r="N103" s="5">
        <v>20</v>
      </c>
    </row>
    <row r="104" spans="8:14" x14ac:dyDescent="0.25">
      <c r="H104" s="117"/>
      <c r="I104" s="116"/>
      <c r="K104" s="28">
        <v>0.58109350805298154</v>
      </c>
      <c r="L104" s="83">
        <v>440075</v>
      </c>
      <c r="M104" s="24">
        <v>1219632.0750001185</v>
      </c>
      <c r="N104" s="5">
        <v>18</v>
      </c>
    </row>
    <row r="105" spans="8:14" x14ac:dyDescent="0.25">
      <c r="H105" s="117"/>
      <c r="I105" s="115"/>
      <c r="K105" s="28">
        <v>0.46041887025389089</v>
      </c>
      <c r="L105" s="84" t="s">
        <v>128</v>
      </c>
      <c r="M105" s="24">
        <v>395244</v>
      </c>
      <c r="N105" s="5">
        <v>41</v>
      </c>
    </row>
    <row r="106" spans="8:14" x14ac:dyDescent="0.25">
      <c r="H106" s="117"/>
      <c r="I106" s="115"/>
      <c r="K106" s="28">
        <v>0.40171707699011217</v>
      </c>
      <c r="L106" s="84" t="s">
        <v>126</v>
      </c>
      <c r="M106" s="24">
        <v>1143948.6200000092</v>
      </c>
      <c r="N106" s="5">
        <v>7</v>
      </c>
    </row>
    <row r="107" spans="8:14" x14ac:dyDescent="0.25">
      <c r="M107" s="1">
        <f>SUM(M59:M106)</f>
        <v>27902199.024000324</v>
      </c>
    </row>
  </sheetData>
  <sheetProtection algorithmName="SHA-512" hashValue="aWVuncZzJxT7ecz/oPL0luhqz7SRrL+zFNrBUOBFzTdQIwo/ftjjmZRzI/DOVnOmjUJGo1aBzMnDkYOqFwqpPg==" saltValue="a7YjIGeD5tmIAYrgK9uqvg==" spinCount="100000" sheet="1" objects="1" scenarios="1"/>
  <autoFilter ref="A2:V53"/>
  <sortState ref="K59:N107">
    <sortCondition descending="1" ref="K59"/>
  </sortState>
  <mergeCells count="17">
    <mergeCell ref="H3:H5"/>
    <mergeCell ref="C3:C5"/>
    <mergeCell ref="D3:D4"/>
    <mergeCell ref="E3:E5"/>
    <mergeCell ref="F3:F5"/>
    <mergeCell ref="G3:G5"/>
    <mergeCell ref="R3:U4"/>
    <mergeCell ref="K3:M3"/>
    <mergeCell ref="N3:P3"/>
    <mergeCell ref="Q3:Q5"/>
    <mergeCell ref="K4:K5"/>
    <mergeCell ref="K57:N57"/>
    <mergeCell ref="I3:I5"/>
    <mergeCell ref="L4:L5"/>
    <mergeCell ref="M4:M5"/>
    <mergeCell ref="N4:P4"/>
    <mergeCell ref="J3:J5"/>
  </mergeCells>
  <conditionalFormatting sqref="A6:A50 A52:A53">
    <cfRule type="duplicateValues" dxfId="20" priority="19"/>
  </conditionalFormatting>
  <conditionalFormatting sqref="A51">
    <cfRule type="duplicateValues" dxfId="19" priority="18"/>
  </conditionalFormatting>
  <conditionalFormatting sqref="I59:I103 I105:I106">
    <cfRule type="duplicateValues" dxfId="18" priority="9"/>
  </conditionalFormatting>
  <conditionalFormatting sqref="I104">
    <cfRule type="duplicateValues" dxfId="17" priority="8"/>
  </conditionalFormatting>
  <conditionalFormatting sqref="L59:L103 L105:L106">
    <cfRule type="duplicateValues" dxfId="16" priority="7"/>
  </conditionalFormatting>
  <conditionalFormatting sqref="L104">
    <cfRule type="duplicateValues" dxfId="15" priority="6"/>
  </conditionalFormatting>
  <conditionalFormatting sqref="K52:K53 K6:K34 K38:K50">
    <cfRule type="duplicateValues" dxfId="14" priority="5"/>
  </conditionalFormatting>
  <conditionalFormatting sqref="K51">
    <cfRule type="duplicateValues" dxfId="13" priority="4"/>
  </conditionalFormatting>
  <conditionalFormatting sqref="K35:K37">
    <cfRule type="duplicateValues" dxfId="12" priority="3"/>
  </conditionalFormatting>
  <conditionalFormatting sqref="R6:R50 R52:R53">
    <cfRule type="duplicateValues" dxfId="11" priority="2"/>
  </conditionalFormatting>
  <conditionalFormatting sqref="R51">
    <cfRule type="duplicateValues" dxfId="10" priority="1"/>
  </conditionalFormatting>
  <printOptions horizontalCentered="1"/>
  <pageMargins left="0.70866141732283472" right="0.70866141732283472" top="1.1417322834645669" bottom="0.55118110236220474" header="0.70866141732283472" footer="0.31496062992125984"/>
  <pageSetup paperSize="9" scale="65" orientation="landscape" r:id="rId1"/>
  <headerFooter>
    <oddHeader>&amp;C&amp;"-,Grassetto"&amp;22INDICAZIONI OPERATIVE: Allegato RAD_01</oddHeader>
    <oddFooter>&amp;C&amp;14pag.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H106"/>
  <sheetViews>
    <sheetView zoomScaleNormal="100" workbookViewId="0">
      <pane xSplit="3" ySplit="5" topLeftCell="D6" activePane="bottomRight" state="frozen"/>
      <selection activeCell="B14" sqref="B14"/>
      <selection pane="topRight" activeCell="B14" sqref="B14"/>
      <selection pane="bottomLeft" activeCell="B14" sqref="B14"/>
      <selection pane="bottomRight" activeCell="I86" sqref="I86"/>
    </sheetView>
  </sheetViews>
  <sheetFormatPr defaultColWidth="8.85546875" defaultRowHeight="15" x14ac:dyDescent="0.25"/>
  <cols>
    <col min="1" max="1" width="7.85546875" style="3" bestFit="1" customWidth="1"/>
    <col min="2" max="2" width="25.140625" style="2" customWidth="1"/>
    <col min="3" max="3" width="4.7109375" style="1" customWidth="1"/>
    <col min="4" max="4" width="5.42578125" style="1" bestFit="1" customWidth="1"/>
    <col min="5" max="5" width="9.140625" style="1" bestFit="1" customWidth="1"/>
    <col min="6" max="6" width="10.140625" style="1" bestFit="1" customWidth="1"/>
    <col min="7" max="7" width="10.140625" style="1" customWidth="1"/>
    <col min="8" max="9" width="10.140625" style="1" bestFit="1" customWidth="1"/>
    <col min="10" max="10" width="8" style="1" customWidth="1"/>
    <col min="11" max="11" width="8" style="1" bestFit="1" customWidth="1"/>
    <col min="12" max="12" width="14.42578125" style="1" customWidth="1"/>
    <col min="13" max="13" width="14.5703125" style="1" customWidth="1"/>
    <col min="14" max="14" width="12.42578125" style="1" bestFit="1" customWidth="1"/>
    <col min="15" max="15" width="13.5703125" style="1" customWidth="1"/>
    <col min="16" max="16" width="10.140625" style="1" bestFit="1" customWidth="1"/>
    <col min="17" max="17" width="8.7109375" style="1" customWidth="1"/>
    <col min="18" max="18" width="8.28515625" style="1" bestFit="1" customWidth="1"/>
    <col min="19" max="19" width="10.140625" style="1" bestFit="1" customWidth="1"/>
    <col min="20" max="20" width="8.28515625" style="1" customWidth="1"/>
    <col min="21" max="21" width="10.140625" style="1" bestFit="1" customWidth="1"/>
    <col min="22" max="22" width="4.28515625" style="1" customWidth="1"/>
    <col min="23" max="23" width="4.7109375" style="1" customWidth="1"/>
    <col min="24" max="24" width="18.28515625" style="1" bestFit="1" customWidth="1"/>
    <col min="25" max="25" width="18.42578125" style="1" bestFit="1" customWidth="1"/>
    <col min="26" max="26" width="18.7109375" style="1" bestFit="1" customWidth="1"/>
    <col min="27" max="27" width="8" style="1" customWidth="1"/>
    <col min="28" max="28" width="7.85546875" style="1" customWidth="1"/>
    <col min="29" max="29" width="10.140625" style="1" bestFit="1" customWidth="1"/>
    <col min="30" max="30" width="9.7109375" style="1" customWidth="1"/>
    <col min="31" max="31" width="8.140625" style="1" customWidth="1"/>
    <col min="32" max="33" width="10.7109375" style="1" customWidth="1"/>
    <col min="34" max="16384" width="8.85546875" style="1"/>
  </cols>
  <sheetData>
    <row r="1" spans="1:34" ht="31.9" customHeight="1" x14ac:dyDescent="0.35">
      <c r="A1" s="47" t="s">
        <v>48</v>
      </c>
      <c r="D1" s="46"/>
    </row>
    <row r="2" spans="1:34" ht="16.5" thickBot="1" x14ac:dyDescent="0.3">
      <c r="A2" s="45">
        <v>1</v>
      </c>
      <c r="B2" s="45">
        <v>2</v>
      </c>
      <c r="C2" s="45">
        <v>3</v>
      </c>
      <c r="D2" s="45">
        <v>4</v>
      </c>
      <c r="E2" s="45">
        <v>5</v>
      </c>
      <c r="F2" s="45">
        <v>6</v>
      </c>
      <c r="G2" s="45">
        <v>7</v>
      </c>
      <c r="H2" s="45">
        <v>8</v>
      </c>
      <c r="I2" s="45">
        <v>9</v>
      </c>
      <c r="J2" s="45">
        <v>10</v>
      </c>
      <c r="K2" s="56">
        <v>11</v>
      </c>
      <c r="L2" s="56">
        <v>12</v>
      </c>
      <c r="M2" s="56">
        <v>13</v>
      </c>
      <c r="N2" s="56">
        <v>14</v>
      </c>
      <c r="O2" s="56">
        <v>15</v>
      </c>
      <c r="P2" s="56">
        <v>16</v>
      </c>
      <c r="Q2" s="56">
        <v>17</v>
      </c>
      <c r="R2" s="44">
        <v>18</v>
      </c>
      <c r="S2" s="44">
        <v>19</v>
      </c>
      <c r="T2" s="44">
        <v>20</v>
      </c>
      <c r="U2" s="44">
        <v>21</v>
      </c>
      <c r="X2" s="43"/>
      <c r="Y2" s="43"/>
      <c r="Z2" s="43"/>
    </row>
    <row r="3" spans="1:34" ht="22.15" customHeight="1" x14ac:dyDescent="0.3">
      <c r="A3" s="42" t="s">
        <v>34</v>
      </c>
      <c r="B3" s="41" t="s">
        <v>173</v>
      </c>
      <c r="C3" s="166" t="s">
        <v>40</v>
      </c>
      <c r="D3" s="160" t="s">
        <v>32</v>
      </c>
      <c r="E3" s="161" t="s">
        <v>31</v>
      </c>
      <c r="F3" s="161" t="s">
        <v>30</v>
      </c>
      <c r="G3" s="162" t="s">
        <v>52</v>
      </c>
      <c r="H3" s="158" t="s">
        <v>29</v>
      </c>
      <c r="I3" s="139" t="s">
        <v>28</v>
      </c>
      <c r="J3" s="145" t="s">
        <v>49</v>
      </c>
      <c r="K3" s="154" t="s">
        <v>78</v>
      </c>
      <c r="L3" s="155"/>
      <c r="M3" s="156"/>
      <c r="N3" s="165" t="s">
        <v>27</v>
      </c>
      <c r="O3" s="165"/>
      <c r="P3" s="165"/>
      <c r="Q3" s="169" t="s">
        <v>46</v>
      </c>
      <c r="R3" s="148" t="s">
        <v>58</v>
      </c>
      <c r="S3" s="149"/>
      <c r="T3" s="149"/>
      <c r="U3" s="150"/>
      <c r="V3" s="35">
        <v>0.02</v>
      </c>
      <c r="X3" s="170" t="s">
        <v>26</v>
      </c>
      <c r="Y3" s="171"/>
      <c r="Z3" s="172"/>
    </row>
    <row r="4" spans="1:34" ht="22.15" customHeight="1" x14ac:dyDescent="0.3">
      <c r="A4" s="40" t="s">
        <v>25</v>
      </c>
      <c r="B4" s="39" t="s">
        <v>24</v>
      </c>
      <c r="C4" s="166"/>
      <c r="D4" s="160"/>
      <c r="E4" s="146"/>
      <c r="F4" s="146"/>
      <c r="G4" s="163"/>
      <c r="H4" s="158"/>
      <c r="I4" s="140"/>
      <c r="J4" s="146"/>
      <c r="K4" s="142" t="s">
        <v>23</v>
      </c>
      <c r="L4" s="175" t="s">
        <v>1</v>
      </c>
      <c r="M4" s="142" t="s">
        <v>21</v>
      </c>
      <c r="N4" s="165" t="s">
        <v>86</v>
      </c>
      <c r="O4" s="165"/>
      <c r="P4" s="165"/>
      <c r="Q4" s="169"/>
      <c r="R4" s="151"/>
      <c r="S4" s="152"/>
      <c r="T4" s="152"/>
      <c r="U4" s="153"/>
      <c r="V4" s="35">
        <v>0</v>
      </c>
      <c r="X4" s="173" t="s">
        <v>19</v>
      </c>
      <c r="Y4" s="167" t="s">
        <v>18</v>
      </c>
      <c r="Z4" s="167" t="s">
        <v>17</v>
      </c>
    </row>
    <row r="5" spans="1:34" ht="22.15" customHeight="1" thickBot="1" x14ac:dyDescent="0.3">
      <c r="A5" s="38" t="s">
        <v>16</v>
      </c>
      <c r="B5" s="37" t="s">
        <v>15</v>
      </c>
      <c r="C5" s="166"/>
      <c r="D5" s="36" t="s">
        <v>14</v>
      </c>
      <c r="E5" s="147"/>
      <c r="F5" s="147"/>
      <c r="G5" s="164"/>
      <c r="H5" s="158"/>
      <c r="I5" s="141"/>
      <c r="J5" s="147"/>
      <c r="K5" s="143"/>
      <c r="L5" s="176"/>
      <c r="M5" s="143"/>
      <c r="N5" s="57" t="s">
        <v>13</v>
      </c>
      <c r="O5" s="57" t="s">
        <v>12</v>
      </c>
      <c r="P5" s="57" t="s">
        <v>11</v>
      </c>
      <c r="Q5" s="169"/>
      <c r="R5" s="66" t="s">
        <v>54</v>
      </c>
      <c r="S5" s="58" t="s">
        <v>59</v>
      </c>
      <c r="T5" s="58" t="s">
        <v>56</v>
      </c>
      <c r="U5" s="58" t="s">
        <v>60</v>
      </c>
      <c r="V5" s="35">
        <v>-0.02</v>
      </c>
      <c r="X5" s="174"/>
      <c r="Y5" s="168"/>
      <c r="Z5" s="168"/>
      <c r="AD5" s="52" t="s">
        <v>42</v>
      </c>
    </row>
    <row r="6" spans="1:34" ht="14.45" customHeight="1" x14ac:dyDescent="0.25">
      <c r="A6" s="3">
        <v>440009</v>
      </c>
      <c r="B6" s="1" t="s">
        <v>87</v>
      </c>
      <c r="C6" s="32" t="s">
        <v>7</v>
      </c>
      <c r="D6" s="31">
        <v>35.68</v>
      </c>
      <c r="E6" s="24">
        <v>15717</v>
      </c>
      <c r="F6" s="29">
        <f t="shared" ref="F6:F53" si="0">E6*D6</f>
        <v>560782.55999999994</v>
      </c>
      <c r="G6" s="29">
        <f>F6/F$54*G$54</f>
        <v>424310.55649338715</v>
      </c>
      <c r="H6" s="24">
        <v>58095</v>
      </c>
      <c r="I6" s="30">
        <f t="shared" ref="I6:I53" si="1">SUM(X6:Z6)</f>
        <v>18823.169999999995</v>
      </c>
      <c r="J6" s="28">
        <f t="shared" ref="J6:J53" si="2">G6/AVERAGE(H6,I6)</f>
        <v>11.032778249752617</v>
      </c>
      <c r="K6" s="7">
        <v>440009</v>
      </c>
      <c r="L6" s="96">
        <v>54028.35</v>
      </c>
      <c r="M6" s="27">
        <v>1</v>
      </c>
      <c r="N6" s="26">
        <f>+L6</f>
        <v>54028.35</v>
      </c>
      <c r="O6" s="26"/>
      <c r="P6" s="26"/>
      <c r="Q6" s="26">
        <f t="shared" ref="Q6:Q53" si="3">(N6*V$3)+(O6*V$4)+(P6*V$5)</f>
        <v>1080.567</v>
      </c>
      <c r="R6" s="3">
        <v>440009</v>
      </c>
      <c r="S6" s="25">
        <f>VLOOKUP(R6,$K$6:$Q$53,2,FALSE)</f>
        <v>54028.35</v>
      </c>
      <c r="T6" s="25">
        <f>VLOOKUP(R6,$K$6:$Q$53,7,FALSE)</f>
        <v>1080.567</v>
      </c>
      <c r="U6" s="59">
        <f>T6+S6</f>
        <v>55108.917000000001</v>
      </c>
      <c r="X6" s="95">
        <v>18823.169999999995</v>
      </c>
      <c r="Y6" s="95">
        <v>0</v>
      </c>
      <c r="Z6" s="95">
        <v>0</v>
      </c>
      <c r="AB6" s="1">
        <f>IF(C6=RAD_NA1_2022!C6,0,100)</f>
        <v>0</v>
      </c>
      <c r="AD6" s="1" t="s">
        <v>6</v>
      </c>
      <c r="AE6" s="1">
        <f t="shared" ref="AE6:AE39" si="4">IF(AD6=C6,0,100)</f>
        <v>100</v>
      </c>
      <c r="AG6" s="1">
        <v>226782.72</v>
      </c>
      <c r="AH6" s="1">
        <f t="shared" ref="AH6:AH39" si="5">AG6-Q59</f>
        <v>226782.72</v>
      </c>
    </row>
    <row r="7" spans="1:34" ht="14.45" customHeight="1" x14ac:dyDescent="0.25">
      <c r="A7" s="3">
        <v>440011</v>
      </c>
      <c r="B7" s="1" t="s">
        <v>88</v>
      </c>
      <c r="C7" s="32" t="s">
        <v>9</v>
      </c>
      <c r="D7" s="31">
        <v>43.18</v>
      </c>
      <c r="E7" s="24">
        <v>18205</v>
      </c>
      <c r="F7" s="29">
        <f t="shared" si="0"/>
        <v>786091.9</v>
      </c>
      <c r="G7" s="29">
        <f t="shared" ref="G7:G53" si="6">F7/F$54*G$54</f>
        <v>594788.63170057221</v>
      </c>
      <c r="H7" s="24">
        <v>90383</v>
      </c>
      <c r="I7" s="30">
        <f t="shared" si="1"/>
        <v>92004.878999999986</v>
      </c>
      <c r="J7" s="28">
        <f t="shared" si="2"/>
        <v>6.5222385935040368</v>
      </c>
      <c r="K7" s="7">
        <v>440011</v>
      </c>
      <c r="L7" s="96">
        <v>84056.189999999988</v>
      </c>
      <c r="M7" s="27">
        <v>2</v>
      </c>
      <c r="N7" s="26">
        <f t="shared" ref="N7:N23" si="7">+L7</f>
        <v>84056.189999999988</v>
      </c>
      <c r="O7" s="26"/>
      <c r="P7" s="26"/>
      <c r="Q7" s="26">
        <f t="shared" si="3"/>
        <v>1681.1237999999998</v>
      </c>
      <c r="R7" s="3">
        <v>440011</v>
      </c>
      <c r="S7" s="25">
        <f t="shared" ref="S7:S53" si="8">VLOOKUP(R7,$K$6:$Q$53,2,FALSE)</f>
        <v>84056.189999999988</v>
      </c>
      <c r="T7" s="25">
        <f t="shared" ref="T7:T53" si="9">VLOOKUP(R7,$K$6:$Q$53,7,FALSE)</f>
        <v>1681.1237999999998</v>
      </c>
      <c r="U7" s="59">
        <f t="shared" ref="U7:U53" si="10">T7+S7</f>
        <v>85737.313799999989</v>
      </c>
      <c r="X7" s="95">
        <v>90383</v>
      </c>
      <c r="Y7" s="95">
        <v>1621.8789999999863</v>
      </c>
      <c r="Z7" s="95">
        <v>0</v>
      </c>
      <c r="AB7" s="1">
        <f>IF(C7=RAD_NA1_2022!C7,0,100)</f>
        <v>0</v>
      </c>
      <c r="AD7" s="1" t="s">
        <v>8</v>
      </c>
      <c r="AE7" s="1">
        <f t="shared" si="4"/>
        <v>100</v>
      </c>
      <c r="AG7" s="1">
        <v>34142.159999999996</v>
      </c>
      <c r="AH7" s="1">
        <f t="shared" si="5"/>
        <v>34142.159999999996</v>
      </c>
    </row>
    <row r="8" spans="1:34" ht="14.45" customHeight="1" x14ac:dyDescent="0.25">
      <c r="A8" s="3">
        <v>440018</v>
      </c>
      <c r="B8" s="1" t="s">
        <v>139</v>
      </c>
      <c r="C8" s="32" t="s">
        <v>9</v>
      </c>
      <c r="D8" s="31">
        <v>43.18</v>
      </c>
      <c r="E8" s="24">
        <v>26267</v>
      </c>
      <c r="F8" s="29">
        <f t="shared" si="0"/>
        <v>1134209.06</v>
      </c>
      <c r="G8" s="29">
        <f t="shared" si="6"/>
        <v>858188.02465690358</v>
      </c>
      <c r="H8" s="24">
        <v>709616.71800004377</v>
      </c>
      <c r="I8" s="30">
        <f t="shared" si="1"/>
        <v>716846.1511800501</v>
      </c>
      <c r="J8" s="28">
        <f t="shared" si="2"/>
        <v>1.2032392054483341</v>
      </c>
      <c r="K8" s="7">
        <v>440018</v>
      </c>
      <c r="L8" s="96">
        <v>659943.5477400407</v>
      </c>
      <c r="M8" s="27">
        <v>3</v>
      </c>
      <c r="N8" s="26">
        <f t="shared" si="7"/>
        <v>659943.5477400407</v>
      </c>
      <c r="O8" s="26"/>
      <c r="P8" s="26"/>
      <c r="Q8" s="26">
        <f t="shared" si="3"/>
        <v>13198.870954800814</v>
      </c>
      <c r="R8" s="3">
        <v>440018</v>
      </c>
      <c r="S8" s="25">
        <f t="shared" si="8"/>
        <v>659943.5477400407</v>
      </c>
      <c r="T8" s="25">
        <f t="shared" si="9"/>
        <v>13198.870954800814</v>
      </c>
      <c r="U8" s="59">
        <f t="shared" si="10"/>
        <v>673142.41869484156</v>
      </c>
      <c r="X8" s="95">
        <v>709616.71800004377</v>
      </c>
      <c r="Y8" s="95">
        <v>7229.4331800063374</v>
      </c>
      <c r="Z8" s="95">
        <v>0</v>
      </c>
      <c r="AB8" s="1">
        <f>IF(C8=RAD_NA1_2022!C8,0,100)</f>
        <v>0</v>
      </c>
      <c r="AD8" s="1" t="s">
        <v>6</v>
      </c>
      <c r="AE8" s="1">
        <f t="shared" si="4"/>
        <v>100</v>
      </c>
      <c r="AG8" s="1">
        <v>453072</v>
      </c>
      <c r="AH8" s="1">
        <f t="shared" si="5"/>
        <v>453072</v>
      </c>
    </row>
    <row r="9" spans="1:34" ht="14.45" customHeight="1" x14ac:dyDescent="0.25">
      <c r="A9" s="3">
        <v>440073</v>
      </c>
      <c r="B9" s="1" t="s">
        <v>140</v>
      </c>
      <c r="C9" s="32" t="s">
        <v>9</v>
      </c>
      <c r="D9" s="31">
        <v>43.18</v>
      </c>
      <c r="E9" s="24">
        <v>12652</v>
      </c>
      <c r="F9" s="29">
        <f t="shared" si="0"/>
        <v>546313.36</v>
      </c>
      <c r="G9" s="29">
        <f t="shared" si="6"/>
        <v>413362.57996570389</v>
      </c>
      <c r="H9" s="24">
        <v>39870.943000000108</v>
      </c>
      <c r="I9" s="30">
        <f t="shared" si="1"/>
        <v>31403.371000000046</v>
      </c>
      <c r="J9" s="28">
        <f t="shared" si="2"/>
        <v>11.599201921907042</v>
      </c>
      <c r="K9" s="7">
        <v>440073</v>
      </c>
      <c r="L9" s="96">
        <v>37079.976990000097</v>
      </c>
      <c r="M9" s="27">
        <v>4</v>
      </c>
      <c r="N9" s="26">
        <f t="shared" si="7"/>
        <v>37079.976990000097</v>
      </c>
      <c r="O9" s="26"/>
      <c r="P9" s="26"/>
      <c r="Q9" s="26">
        <f t="shared" si="3"/>
        <v>741.59953980000193</v>
      </c>
      <c r="R9" s="3">
        <v>440073</v>
      </c>
      <c r="S9" s="25">
        <f t="shared" si="8"/>
        <v>37079.976990000097</v>
      </c>
      <c r="T9" s="25">
        <f t="shared" si="9"/>
        <v>741.59953980000193</v>
      </c>
      <c r="U9" s="59">
        <f t="shared" si="10"/>
        <v>37821.576529800099</v>
      </c>
      <c r="X9" s="95">
        <v>31403.371000000046</v>
      </c>
      <c r="Y9" s="95">
        <v>0</v>
      </c>
      <c r="Z9" s="95">
        <v>0</v>
      </c>
      <c r="AB9" s="1">
        <f>IF(C9=RAD_NA1_2022!C9,0,100)</f>
        <v>0</v>
      </c>
      <c r="AD9" s="1" t="s">
        <v>8</v>
      </c>
      <c r="AE9" s="1">
        <f t="shared" si="4"/>
        <v>100</v>
      </c>
      <c r="AG9" s="1">
        <v>50894.25</v>
      </c>
      <c r="AH9" s="1">
        <f t="shared" si="5"/>
        <v>50894.25</v>
      </c>
    </row>
    <row r="10" spans="1:34" ht="14.45" customHeight="1" x14ac:dyDescent="0.25">
      <c r="A10" s="3">
        <v>440075</v>
      </c>
      <c r="B10" s="1" t="s">
        <v>141</v>
      </c>
      <c r="C10" s="32" t="s">
        <v>9</v>
      </c>
      <c r="D10" s="31">
        <v>43.18</v>
      </c>
      <c r="E10" s="24">
        <v>33945</v>
      </c>
      <c r="F10" s="29">
        <f t="shared" si="0"/>
        <v>1465745.1</v>
      </c>
      <c r="G10" s="29">
        <f t="shared" si="6"/>
        <v>1109041.4777850001</v>
      </c>
      <c r="H10" s="24">
        <v>1219632.0750001185</v>
      </c>
      <c r="I10" s="30">
        <f t="shared" si="1"/>
        <v>1240635.9137502343</v>
      </c>
      <c r="J10" s="28">
        <f t="shared" si="2"/>
        <v>0.90156152326179484</v>
      </c>
      <c r="K10" s="7">
        <v>440075</v>
      </c>
      <c r="L10" s="96">
        <v>1134257.8297501102</v>
      </c>
      <c r="M10" s="27">
        <v>5</v>
      </c>
      <c r="N10" s="26">
        <f t="shared" si="7"/>
        <v>1134257.8297501102</v>
      </c>
      <c r="O10" s="26"/>
      <c r="P10" s="26"/>
      <c r="Q10" s="26">
        <f t="shared" si="3"/>
        <v>22685.156595002205</v>
      </c>
      <c r="R10" s="3">
        <v>440075</v>
      </c>
      <c r="S10" s="25">
        <f t="shared" si="8"/>
        <v>1134257.8297501102</v>
      </c>
      <c r="T10" s="25">
        <f t="shared" si="9"/>
        <v>22685.156595002205</v>
      </c>
      <c r="U10" s="59">
        <f t="shared" si="10"/>
        <v>1156942.9863451123</v>
      </c>
      <c r="X10" s="95">
        <v>1219632.0750001185</v>
      </c>
      <c r="Y10" s="95">
        <v>21003.838750115829</v>
      </c>
      <c r="Z10" s="95">
        <v>0</v>
      </c>
      <c r="AB10" s="1">
        <f>IF(C10=RAD_NA1_2022!C10,0,100)</f>
        <v>0</v>
      </c>
      <c r="AD10" s="1" t="s">
        <v>7</v>
      </c>
      <c r="AE10" s="1">
        <f t="shared" si="4"/>
        <v>100</v>
      </c>
      <c r="AG10" s="1">
        <v>220073.34</v>
      </c>
      <c r="AH10" s="1">
        <f t="shared" si="5"/>
        <v>220073.34</v>
      </c>
    </row>
    <row r="11" spans="1:34" ht="14.45" customHeight="1" x14ac:dyDescent="0.25">
      <c r="A11" s="3">
        <v>440076</v>
      </c>
      <c r="B11" s="1" t="s">
        <v>142</v>
      </c>
      <c r="C11" s="32" t="s">
        <v>6</v>
      </c>
      <c r="D11" s="31">
        <v>76.17</v>
      </c>
      <c r="E11" s="24">
        <v>14416</v>
      </c>
      <c r="F11" s="29">
        <f t="shared" si="0"/>
        <v>1098066.72</v>
      </c>
      <c r="G11" s="29">
        <f t="shared" si="6"/>
        <v>830841.2819222986</v>
      </c>
      <c r="H11" s="24">
        <v>367484.06800000119</v>
      </c>
      <c r="I11" s="30">
        <f t="shared" si="1"/>
        <v>389162.99527121068</v>
      </c>
      <c r="J11" s="28">
        <f t="shared" si="2"/>
        <v>2.1961131477344877</v>
      </c>
      <c r="K11" s="7">
        <v>440076</v>
      </c>
      <c r="L11" s="96">
        <v>352784.70528000116</v>
      </c>
      <c r="M11" s="27">
        <v>6</v>
      </c>
      <c r="N11" s="26">
        <f t="shared" si="7"/>
        <v>352784.70528000116</v>
      </c>
      <c r="O11" s="26"/>
      <c r="P11" s="26"/>
      <c r="Q11" s="26">
        <f t="shared" si="3"/>
        <v>7055.6941056000232</v>
      </c>
      <c r="R11" s="3">
        <v>440076</v>
      </c>
      <c r="S11" s="25">
        <f t="shared" si="8"/>
        <v>352784.70528000116</v>
      </c>
      <c r="T11" s="25">
        <f t="shared" si="9"/>
        <v>7055.6941056000232</v>
      </c>
      <c r="U11" s="59">
        <f t="shared" si="10"/>
        <v>359840.39938560117</v>
      </c>
      <c r="X11" s="95">
        <v>367484.06800000119</v>
      </c>
      <c r="Y11" s="95">
        <v>21678.927271209483</v>
      </c>
      <c r="Z11" s="95">
        <v>0</v>
      </c>
      <c r="AB11" s="1">
        <f>IF(C11=RAD_NA1_2022!C11,0,100)</f>
        <v>0</v>
      </c>
      <c r="AD11" s="1" t="s">
        <v>8</v>
      </c>
      <c r="AE11" s="1">
        <f t="shared" si="4"/>
        <v>100</v>
      </c>
      <c r="AG11" s="1">
        <v>231331.91999999998</v>
      </c>
      <c r="AH11" s="1">
        <f t="shared" si="5"/>
        <v>231331.91999999998</v>
      </c>
    </row>
    <row r="12" spans="1:34" ht="14.45" customHeight="1" x14ac:dyDescent="0.25">
      <c r="A12" s="3">
        <v>440079</v>
      </c>
      <c r="B12" s="1" t="s">
        <v>143</v>
      </c>
      <c r="C12" s="32" t="s">
        <v>7</v>
      </c>
      <c r="D12" s="31">
        <v>35.68</v>
      </c>
      <c r="E12" s="24">
        <v>6946</v>
      </c>
      <c r="F12" s="29">
        <f t="shared" si="0"/>
        <v>247833.28</v>
      </c>
      <c r="G12" s="29">
        <f t="shared" si="6"/>
        <v>187520.590787241</v>
      </c>
      <c r="H12" s="24">
        <v>205946.39799999792</v>
      </c>
      <c r="I12" s="30">
        <f t="shared" si="1"/>
        <v>224463.54499999582</v>
      </c>
      <c r="J12" s="28">
        <f t="shared" si="2"/>
        <v>0.8713580800676054</v>
      </c>
      <c r="K12" s="7">
        <v>440079</v>
      </c>
      <c r="L12" s="96">
        <v>191530.15013999806</v>
      </c>
      <c r="M12" s="27">
        <v>7</v>
      </c>
      <c r="N12" s="26">
        <f t="shared" si="7"/>
        <v>191530.15013999806</v>
      </c>
      <c r="O12" s="26"/>
      <c r="P12" s="26"/>
      <c r="Q12" s="26">
        <f t="shared" si="3"/>
        <v>3830.6030027999614</v>
      </c>
      <c r="R12" s="3">
        <v>440079</v>
      </c>
      <c r="S12" s="25">
        <f t="shared" si="8"/>
        <v>191530.15013999806</v>
      </c>
      <c r="T12" s="25">
        <f t="shared" si="9"/>
        <v>3830.6030027999614</v>
      </c>
      <c r="U12" s="59">
        <f t="shared" si="10"/>
        <v>195360.75314279803</v>
      </c>
      <c r="X12" s="95">
        <v>205946.39799999792</v>
      </c>
      <c r="Y12" s="95">
        <v>18517.146999997902</v>
      </c>
      <c r="Z12" s="95">
        <v>0</v>
      </c>
      <c r="AB12" s="1">
        <f>IF(C12=RAD_NA1_2022!C12,0,100)</f>
        <v>0</v>
      </c>
      <c r="AD12" s="1" t="s">
        <v>6</v>
      </c>
      <c r="AE12" s="1">
        <f t="shared" si="4"/>
        <v>100</v>
      </c>
      <c r="AG12" s="1">
        <v>1661456.64</v>
      </c>
      <c r="AH12" s="1">
        <f t="shared" si="5"/>
        <v>1661456.64</v>
      </c>
    </row>
    <row r="13" spans="1:34" ht="14.45" customHeight="1" x14ac:dyDescent="0.25">
      <c r="A13" s="3">
        <v>450046</v>
      </c>
      <c r="B13" s="1" t="s">
        <v>93</v>
      </c>
      <c r="C13" s="32" t="s">
        <v>9</v>
      </c>
      <c r="D13" s="31">
        <v>43.18</v>
      </c>
      <c r="E13" s="24">
        <v>6811</v>
      </c>
      <c r="F13" s="29">
        <f t="shared" si="0"/>
        <v>294098.98</v>
      </c>
      <c r="G13" s="29">
        <f t="shared" si="6"/>
        <v>222527.07335965929</v>
      </c>
      <c r="H13" s="24">
        <v>175320.84399999821</v>
      </c>
      <c r="I13" s="30">
        <f t="shared" si="1"/>
        <v>167775.54499999864</v>
      </c>
      <c r="J13" s="28">
        <f t="shared" si="2"/>
        <v>1.2971694281496</v>
      </c>
      <c r="K13" s="7">
        <v>450046</v>
      </c>
      <c r="L13" s="96">
        <v>163048.38491999832</v>
      </c>
      <c r="M13" s="27">
        <v>8</v>
      </c>
      <c r="N13" s="26">
        <f t="shared" si="7"/>
        <v>163048.38491999832</v>
      </c>
      <c r="O13" s="26"/>
      <c r="P13" s="26"/>
      <c r="Q13" s="26">
        <f t="shared" si="3"/>
        <v>3260.9676983999666</v>
      </c>
      <c r="R13" s="3">
        <v>450046</v>
      </c>
      <c r="S13" s="25">
        <f t="shared" si="8"/>
        <v>163048.38491999832</v>
      </c>
      <c r="T13" s="25">
        <f t="shared" si="9"/>
        <v>3260.9676983999666</v>
      </c>
      <c r="U13" s="59">
        <f t="shared" si="10"/>
        <v>166309.35261839829</v>
      </c>
      <c r="X13" s="95">
        <v>167775.54499999864</v>
      </c>
      <c r="Y13" s="95">
        <v>0</v>
      </c>
      <c r="Z13" s="95">
        <v>0</v>
      </c>
      <c r="AB13" s="1">
        <f>IF(C13=RAD_NA1_2022!C13,0,100)</f>
        <v>0</v>
      </c>
      <c r="AD13" s="1" t="s">
        <v>6</v>
      </c>
      <c r="AE13" s="1">
        <f t="shared" si="4"/>
        <v>100</v>
      </c>
      <c r="AG13" s="1">
        <v>964752.96</v>
      </c>
      <c r="AH13" s="1">
        <f t="shared" si="5"/>
        <v>964752.96</v>
      </c>
    </row>
    <row r="14" spans="1:34" ht="14.45" customHeight="1" x14ac:dyDescent="0.25">
      <c r="A14" s="3">
        <v>450069</v>
      </c>
      <c r="B14" s="1" t="s">
        <v>94</v>
      </c>
      <c r="C14" s="32" t="s">
        <v>9</v>
      </c>
      <c r="D14" s="31">
        <v>43.18</v>
      </c>
      <c r="E14" s="24">
        <v>12933</v>
      </c>
      <c r="F14" s="29">
        <f t="shared" si="0"/>
        <v>558446.93999999994</v>
      </c>
      <c r="G14" s="29">
        <f t="shared" si="6"/>
        <v>422543.33280876133</v>
      </c>
      <c r="H14" s="24">
        <v>304570</v>
      </c>
      <c r="I14" s="30">
        <f t="shared" si="1"/>
        <v>334160.58300000394</v>
      </c>
      <c r="J14" s="28">
        <f t="shared" si="2"/>
        <v>1.3230721811507771</v>
      </c>
      <c r="K14" s="7">
        <v>450069</v>
      </c>
      <c r="L14" s="96">
        <v>283250.09999999998</v>
      </c>
      <c r="M14" s="27">
        <v>9</v>
      </c>
      <c r="N14" s="26">
        <f t="shared" si="7"/>
        <v>283250.09999999998</v>
      </c>
      <c r="O14" s="26"/>
      <c r="P14" s="26"/>
      <c r="Q14" s="26">
        <f t="shared" si="3"/>
        <v>5665.0019999999995</v>
      </c>
      <c r="R14" s="3">
        <v>450069</v>
      </c>
      <c r="S14" s="25">
        <f t="shared" si="8"/>
        <v>283250.09999999998</v>
      </c>
      <c r="T14" s="25">
        <f t="shared" si="9"/>
        <v>5665.0019999999995</v>
      </c>
      <c r="U14" s="59">
        <f t="shared" si="10"/>
        <v>288915.10199999996</v>
      </c>
      <c r="X14" s="95">
        <v>304570</v>
      </c>
      <c r="Y14" s="95">
        <v>29590.583000003942</v>
      </c>
      <c r="Z14" s="95">
        <v>0</v>
      </c>
      <c r="AB14" s="1">
        <f>IF(C14=RAD_NA1_2022!C14,0,100)</f>
        <v>0</v>
      </c>
      <c r="AD14" s="1" t="s">
        <v>7</v>
      </c>
      <c r="AE14" s="1">
        <f t="shared" si="4"/>
        <v>100</v>
      </c>
      <c r="AG14" s="1">
        <v>37317.18</v>
      </c>
      <c r="AH14" s="1">
        <f t="shared" si="5"/>
        <v>37317.18</v>
      </c>
    </row>
    <row r="15" spans="1:34" x14ac:dyDescent="0.25">
      <c r="A15" s="3">
        <v>450070</v>
      </c>
      <c r="B15" s="1" t="s">
        <v>95</v>
      </c>
      <c r="C15" s="32" t="s">
        <v>9</v>
      </c>
      <c r="D15" s="31">
        <v>43.18</v>
      </c>
      <c r="E15" s="24">
        <v>13479</v>
      </c>
      <c r="F15" s="29">
        <f t="shared" si="0"/>
        <v>582023.22</v>
      </c>
      <c r="G15" s="29">
        <f t="shared" si="6"/>
        <v>440382.09100203309</v>
      </c>
      <c r="H15" s="24">
        <v>96303</v>
      </c>
      <c r="I15" s="30">
        <f t="shared" si="1"/>
        <v>105355.73599999912</v>
      </c>
      <c r="J15" s="28">
        <f t="shared" si="2"/>
        <v>4.3675974543650327</v>
      </c>
      <c r="K15" s="7">
        <v>450070</v>
      </c>
      <c r="L15" s="96">
        <v>89561.79</v>
      </c>
      <c r="M15" s="27">
        <v>10</v>
      </c>
      <c r="N15" s="26">
        <f t="shared" si="7"/>
        <v>89561.79</v>
      </c>
      <c r="O15" s="26"/>
      <c r="P15" s="26"/>
      <c r="Q15" s="26">
        <f t="shared" si="3"/>
        <v>1791.2357999999999</v>
      </c>
      <c r="R15" s="3">
        <v>450070</v>
      </c>
      <c r="S15" s="25">
        <f t="shared" si="8"/>
        <v>89561.79</v>
      </c>
      <c r="T15" s="25">
        <f t="shared" si="9"/>
        <v>1791.2357999999999</v>
      </c>
      <c r="U15" s="59">
        <f t="shared" si="10"/>
        <v>91353.025799999989</v>
      </c>
      <c r="X15" s="95">
        <v>96303</v>
      </c>
      <c r="Y15" s="95">
        <v>9052.7359999991168</v>
      </c>
      <c r="Z15" s="95">
        <v>0</v>
      </c>
      <c r="AB15" s="1">
        <f>IF(C15=RAD_NA1_2022!C15,0,100)</f>
        <v>0</v>
      </c>
      <c r="AD15" s="1" t="s">
        <v>7</v>
      </c>
      <c r="AE15" s="1">
        <f t="shared" si="4"/>
        <v>100</v>
      </c>
      <c r="AG15" s="1">
        <v>36624.329999999994</v>
      </c>
      <c r="AH15" s="1">
        <f t="shared" si="5"/>
        <v>36624.329999999994</v>
      </c>
    </row>
    <row r="16" spans="1:34" ht="14.45" customHeight="1" x14ac:dyDescent="0.25">
      <c r="A16" s="3">
        <v>450072</v>
      </c>
      <c r="B16" s="1" t="s">
        <v>144</v>
      </c>
      <c r="C16" s="32" t="s">
        <v>7</v>
      </c>
      <c r="D16" s="31">
        <v>35.68</v>
      </c>
      <c r="E16" s="24">
        <v>52337</v>
      </c>
      <c r="F16" s="29">
        <f t="shared" si="0"/>
        <v>1867384.16</v>
      </c>
      <c r="G16" s="29">
        <f t="shared" si="6"/>
        <v>1412937.6850031433</v>
      </c>
      <c r="H16" s="24">
        <v>767297.08200003474</v>
      </c>
      <c r="I16" s="30">
        <f t="shared" si="1"/>
        <v>754033.5740000318</v>
      </c>
      <c r="J16" s="28">
        <f t="shared" si="2"/>
        <v>1.8575024166253065</v>
      </c>
      <c r="K16" s="7">
        <v>450072</v>
      </c>
      <c r="L16" s="96">
        <v>713586.28626003221</v>
      </c>
      <c r="M16" s="27">
        <v>11</v>
      </c>
      <c r="N16" s="26">
        <f t="shared" si="7"/>
        <v>713586.28626003221</v>
      </c>
      <c r="O16" s="26"/>
      <c r="P16" s="26"/>
      <c r="Q16" s="26">
        <f t="shared" si="3"/>
        <v>14271.725725200644</v>
      </c>
      <c r="R16" s="3">
        <v>450072</v>
      </c>
      <c r="S16" s="25">
        <f t="shared" si="8"/>
        <v>713586.28626003221</v>
      </c>
      <c r="T16" s="25">
        <f t="shared" si="9"/>
        <v>14271.725725200644</v>
      </c>
      <c r="U16" s="59">
        <f t="shared" si="10"/>
        <v>727858.01198523282</v>
      </c>
      <c r="X16" s="95">
        <v>754033.5740000318</v>
      </c>
      <c r="Y16" s="95">
        <v>0</v>
      </c>
      <c r="Z16" s="95">
        <v>0</v>
      </c>
      <c r="AB16" s="1">
        <f>IF(C16=RAD_NA1_2022!C16,0,100)</f>
        <v>0</v>
      </c>
      <c r="AD16" s="1" t="s">
        <v>9</v>
      </c>
      <c r="AE16" s="1">
        <f t="shared" si="4"/>
        <v>100</v>
      </c>
      <c r="AG16" s="1">
        <v>884509.98</v>
      </c>
      <c r="AH16" s="1">
        <f t="shared" si="5"/>
        <v>884509.98</v>
      </c>
    </row>
    <row r="17" spans="1:34" ht="14.45" customHeight="1" x14ac:dyDescent="0.25">
      <c r="A17" s="3">
        <v>460098</v>
      </c>
      <c r="B17" s="1" t="s">
        <v>97</v>
      </c>
      <c r="C17" s="32" t="s">
        <v>7</v>
      </c>
      <c r="D17" s="31">
        <v>35.68</v>
      </c>
      <c r="E17" s="24">
        <v>19590</v>
      </c>
      <c r="F17" s="29">
        <f t="shared" si="0"/>
        <v>698971.2</v>
      </c>
      <c r="G17" s="29">
        <f t="shared" si="6"/>
        <v>528869.61899252108</v>
      </c>
      <c r="H17" s="24">
        <v>274008.52100000106</v>
      </c>
      <c r="I17" s="30">
        <f t="shared" si="1"/>
        <v>275695.73000000848</v>
      </c>
      <c r="J17" s="28">
        <f t="shared" si="2"/>
        <v>1.9241969405563573</v>
      </c>
      <c r="K17" s="7">
        <v>460098</v>
      </c>
      <c r="L17" s="96">
        <v>254827.92453000098</v>
      </c>
      <c r="M17" s="27">
        <v>12</v>
      </c>
      <c r="N17" s="26">
        <f t="shared" si="7"/>
        <v>254827.92453000098</v>
      </c>
      <c r="O17" s="26"/>
      <c r="P17" s="26"/>
      <c r="Q17" s="26">
        <f t="shared" si="3"/>
        <v>5096.5584906000195</v>
      </c>
      <c r="R17" s="3">
        <v>460098</v>
      </c>
      <c r="S17" s="25">
        <f t="shared" si="8"/>
        <v>254827.92453000098</v>
      </c>
      <c r="T17" s="25">
        <f t="shared" si="9"/>
        <v>5096.5584906000195</v>
      </c>
      <c r="U17" s="59">
        <f t="shared" si="10"/>
        <v>259924.48302060101</v>
      </c>
      <c r="X17" s="95">
        <v>274008.52100000106</v>
      </c>
      <c r="Y17" s="95">
        <v>1687.209000007424</v>
      </c>
      <c r="Z17" s="95">
        <v>0</v>
      </c>
      <c r="AB17" s="1">
        <f>IF(C17=RAD_NA1_2022!C17,0,100)</f>
        <v>0</v>
      </c>
      <c r="AD17" s="1" t="s">
        <v>9</v>
      </c>
      <c r="AE17" s="1">
        <f t="shared" si="4"/>
        <v>100</v>
      </c>
      <c r="AG17" s="1">
        <v>577892.69999999995</v>
      </c>
      <c r="AH17" s="1">
        <f t="shared" si="5"/>
        <v>577892.69999999995</v>
      </c>
    </row>
    <row r="18" spans="1:34" ht="14.45" customHeight="1" x14ac:dyDescent="0.25">
      <c r="A18" s="3">
        <v>460103</v>
      </c>
      <c r="B18" s="1" t="s">
        <v>145</v>
      </c>
      <c r="C18" s="32" t="s">
        <v>9</v>
      </c>
      <c r="D18" s="31">
        <v>43.18</v>
      </c>
      <c r="E18" s="24">
        <v>13301</v>
      </c>
      <c r="F18" s="29">
        <f t="shared" si="0"/>
        <v>574337.18000000005</v>
      </c>
      <c r="G18" s="29">
        <f t="shared" si="6"/>
        <v>434566.52514415333</v>
      </c>
      <c r="H18" s="24">
        <v>357347.05799999478</v>
      </c>
      <c r="I18" s="30">
        <f t="shared" si="1"/>
        <v>351806.67899999209</v>
      </c>
      <c r="J18" s="28">
        <f t="shared" si="2"/>
        <v>1.2255918638532433</v>
      </c>
      <c r="K18" s="7">
        <v>460103</v>
      </c>
      <c r="L18" s="96">
        <v>332332.76393999514</v>
      </c>
      <c r="M18" s="27">
        <v>13</v>
      </c>
      <c r="N18" s="26">
        <f t="shared" si="7"/>
        <v>332332.76393999514</v>
      </c>
      <c r="O18" s="26"/>
      <c r="P18" s="26"/>
      <c r="Q18" s="26">
        <f t="shared" si="3"/>
        <v>6646.6552787999026</v>
      </c>
      <c r="R18" s="3">
        <v>460103</v>
      </c>
      <c r="S18" s="25">
        <f t="shared" si="8"/>
        <v>332332.76393999514</v>
      </c>
      <c r="T18" s="25">
        <f t="shared" si="9"/>
        <v>6646.6552787999026</v>
      </c>
      <c r="U18" s="59">
        <f t="shared" si="10"/>
        <v>338979.41921879502</v>
      </c>
      <c r="X18" s="95">
        <v>351806.67899999209</v>
      </c>
      <c r="Y18" s="95">
        <v>0</v>
      </c>
      <c r="Z18" s="95">
        <v>0</v>
      </c>
      <c r="AB18" s="1">
        <f>IF(C18=RAD_NA1_2022!C18,0,100)</f>
        <v>0</v>
      </c>
      <c r="AD18" s="1" t="s">
        <v>9</v>
      </c>
      <c r="AE18" s="1">
        <f t="shared" si="4"/>
        <v>0</v>
      </c>
      <c r="AG18" s="1">
        <v>948704.15999999992</v>
      </c>
      <c r="AH18" s="1">
        <f t="shared" si="5"/>
        <v>948704.15999999992</v>
      </c>
    </row>
    <row r="19" spans="1:34" ht="14.45" customHeight="1" x14ac:dyDescent="0.25">
      <c r="A19" s="7">
        <v>460104</v>
      </c>
      <c r="B19" s="34" t="s">
        <v>146</v>
      </c>
      <c r="C19" s="32" t="s">
        <v>6</v>
      </c>
      <c r="D19" s="31">
        <v>76.17</v>
      </c>
      <c r="E19" s="24">
        <v>23353</v>
      </c>
      <c r="F19" s="29">
        <f t="shared" si="0"/>
        <v>1778798.01</v>
      </c>
      <c r="G19" s="29">
        <f t="shared" si="6"/>
        <v>1345909.8541017924</v>
      </c>
      <c r="H19" s="24">
        <v>736956.63299999491</v>
      </c>
      <c r="I19" s="30">
        <f t="shared" si="1"/>
        <v>821015.39500003355</v>
      </c>
      <c r="J19" s="28">
        <f t="shared" si="2"/>
        <v>1.7277715259490756</v>
      </c>
      <c r="K19" s="7">
        <v>460104</v>
      </c>
      <c r="L19" s="96">
        <v>707478.36767999514</v>
      </c>
      <c r="M19" s="27">
        <v>14</v>
      </c>
      <c r="N19" s="26">
        <f t="shared" si="7"/>
        <v>707478.36767999514</v>
      </c>
      <c r="O19" s="26"/>
      <c r="P19" s="26"/>
      <c r="Q19" s="26">
        <f t="shared" si="3"/>
        <v>14149.567353599903</v>
      </c>
      <c r="R19" s="7">
        <v>460104</v>
      </c>
      <c r="S19" s="25">
        <f t="shared" si="8"/>
        <v>707478.36767999514</v>
      </c>
      <c r="T19" s="25">
        <f t="shared" si="9"/>
        <v>14149.567353599903</v>
      </c>
      <c r="U19" s="59">
        <f t="shared" si="10"/>
        <v>721627.93503359507</v>
      </c>
      <c r="X19" s="95">
        <v>736956.63299999491</v>
      </c>
      <c r="Y19" s="95">
        <v>73695.663299999491</v>
      </c>
      <c r="Z19" s="95">
        <v>10363.098700039147</v>
      </c>
      <c r="AB19" s="1">
        <f>IF(C19=RAD_NA1_2022!C19,0,100)</f>
        <v>0</v>
      </c>
      <c r="AD19" s="1" t="s">
        <v>9</v>
      </c>
      <c r="AE19" s="1">
        <f t="shared" si="4"/>
        <v>100</v>
      </c>
      <c r="AG19" s="1">
        <v>339099.38999999996</v>
      </c>
      <c r="AH19" s="1">
        <f t="shared" si="5"/>
        <v>339099.38999999996</v>
      </c>
    </row>
    <row r="20" spans="1:34" ht="14.45" customHeight="1" x14ac:dyDescent="0.25">
      <c r="A20" s="7">
        <v>460133</v>
      </c>
      <c r="B20" s="34" t="s">
        <v>147</v>
      </c>
      <c r="C20" s="32" t="s">
        <v>6</v>
      </c>
      <c r="D20" s="31">
        <v>76.17</v>
      </c>
      <c r="E20" s="24">
        <v>51251</v>
      </c>
      <c r="F20" s="29">
        <f t="shared" si="0"/>
        <v>3903788.67</v>
      </c>
      <c r="G20" s="29">
        <f t="shared" si="6"/>
        <v>2953762.9397752304</v>
      </c>
      <c r="H20" s="24">
        <v>2208657.3679999202</v>
      </c>
      <c r="I20" s="30">
        <f t="shared" si="1"/>
        <v>2375347.4119998566</v>
      </c>
      <c r="J20" s="28">
        <f t="shared" si="2"/>
        <v>1.2887259422863753</v>
      </c>
      <c r="K20" s="7">
        <v>460133</v>
      </c>
      <c r="L20" s="96">
        <v>2120311.0732799233</v>
      </c>
      <c r="M20" s="27">
        <v>15</v>
      </c>
      <c r="N20" s="26">
        <f t="shared" si="7"/>
        <v>2120311.0732799233</v>
      </c>
      <c r="O20" s="26"/>
      <c r="P20" s="26"/>
      <c r="Q20" s="26">
        <f t="shared" si="3"/>
        <v>42406.221465598464</v>
      </c>
      <c r="R20" s="7">
        <v>460133</v>
      </c>
      <c r="S20" s="25">
        <f t="shared" si="8"/>
        <v>2120311.0732799233</v>
      </c>
      <c r="T20" s="25">
        <f t="shared" si="9"/>
        <v>42406.221465598464</v>
      </c>
      <c r="U20" s="59">
        <f t="shared" si="10"/>
        <v>2162717.2947455216</v>
      </c>
      <c r="X20" s="95">
        <v>2208657.3679999202</v>
      </c>
      <c r="Y20" s="95">
        <v>166690.04399993643</v>
      </c>
      <c r="Z20" s="95">
        <v>0</v>
      </c>
      <c r="AB20" s="1">
        <f>IF(C20=RAD_NA1_2022!C20,0,100)</f>
        <v>0</v>
      </c>
      <c r="AD20" s="1" t="s">
        <v>7</v>
      </c>
      <c r="AE20" s="1">
        <f t="shared" si="4"/>
        <v>100</v>
      </c>
      <c r="AG20" s="1">
        <v>152233.56</v>
      </c>
      <c r="AH20" s="1">
        <f t="shared" si="5"/>
        <v>152233.56</v>
      </c>
    </row>
    <row r="21" spans="1:34" ht="14.45" customHeight="1" x14ac:dyDescent="0.25">
      <c r="A21" s="3">
        <v>470125</v>
      </c>
      <c r="B21" s="1" t="s">
        <v>101</v>
      </c>
      <c r="C21" s="32" t="s">
        <v>9</v>
      </c>
      <c r="D21" s="31">
        <v>43.18</v>
      </c>
      <c r="E21" s="24">
        <v>4431</v>
      </c>
      <c r="F21" s="29">
        <f t="shared" si="0"/>
        <v>191330.58</v>
      </c>
      <c r="G21" s="29">
        <f t="shared" si="6"/>
        <v>144768.38379924389</v>
      </c>
      <c r="H21" s="24">
        <v>126456</v>
      </c>
      <c r="I21" s="30">
        <f t="shared" si="1"/>
        <v>84407.545977704867</v>
      </c>
      <c r="J21" s="28">
        <f t="shared" si="2"/>
        <v>1.3731001546806068</v>
      </c>
      <c r="K21" s="7">
        <v>470125</v>
      </c>
      <c r="L21" s="96">
        <v>117604.07999999999</v>
      </c>
      <c r="M21" s="27">
        <v>16</v>
      </c>
      <c r="N21" s="26">
        <f t="shared" si="7"/>
        <v>117604.07999999999</v>
      </c>
      <c r="O21" s="26"/>
      <c r="P21" s="26"/>
      <c r="Q21" s="26">
        <f t="shared" si="3"/>
        <v>2352.0816</v>
      </c>
      <c r="R21" s="3">
        <v>470125</v>
      </c>
      <c r="S21" s="25">
        <f t="shared" si="8"/>
        <v>117604.07999999999</v>
      </c>
      <c r="T21" s="25">
        <f t="shared" si="9"/>
        <v>2352.0816</v>
      </c>
      <c r="U21" s="59">
        <f t="shared" si="10"/>
        <v>119956.16159999999</v>
      </c>
      <c r="X21" s="95">
        <v>84407.545977704867</v>
      </c>
      <c r="Y21" s="95">
        <v>0</v>
      </c>
      <c r="Z21" s="95">
        <v>0</v>
      </c>
      <c r="AB21" s="1">
        <f>IF(C21=RAD_NA1_2022!C21,0,100)</f>
        <v>0</v>
      </c>
      <c r="AD21" s="1" t="s">
        <v>9</v>
      </c>
      <c r="AE21" s="1">
        <f t="shared" si="4"/>
        <v>0</v>
      </c>
      <c r="AG21" s="1">
        <v>496322.39999999997</v>
      </c>
      <c r="AH21" s="1">
        <f t="shared" si="5"/>
        <v>496322.39999999997</v>
      </c>
    </row>
    <row r="22" spans="1:34" ht="14.45" customHeight="1" x14ac:dyDescent="0.25">
      <c r="A22" s="3">
        <v>470141</v>
      </c>
      <c r="B22" s="1" t="s">
        <v>102</v>
      </c>
      <c r="C22" s="32" t="s">
        <v>6</v>
      </c>
      <c r="D22" s="31">
        <v>76.17</v>
      </c>
      <c r="E22" s="24">
        <v>61516</v>
      </c>
      <c r="F22" s="29">
        <f t="shared" si="0"/>
        <v>4685673.72</v>
      </c>
      <c r="G22" s="29">
        <f t="shared" si="6"/>
        <v>3545368.50018952</v>
      </c>
      <c r="H22" s="24">
        <v>1468456</v>
      </c>
      <c r="I22" s="30">
        <f t="shared" si="1"/>
        <v>1502469.3129999924</v>
      </c>
      <c r="J22" s="28">
        <f t="shared" si="2"/>
        <v>2.3867099483624945</v>
      </c>
      <c r="K22" s="7">
        <v>470141</v>
      </c>
      <c r="L22" s="96">
        <v>1409717.76</v>
      </c>
      <c r="M22" s="27">
        <v>17</v>
      </c>
      <c r="N22" s="26">
        <f t="shared" si="7"/>
        <v>1409717.76</v>
      </c>
      <c r="O22" s="26"/>
      <c r="P22" s="26"/>
      <c r="Q22" s="26">
        <f t="shared" si="3"/>
        <v>28194.355200000002</v>
      </c>
      <c r="R22" s="3">
        <v>470141</v>
      </c>
      <c r="S22" s="25">
        <f t="shared" si="8"/>
        <v>1409717.76</v>
      </c>
      <c r="T22" s="25">
        <f t="shared" si="9"/>
        <v>28194.355200000002</v>
      </c>
      <c r="U22" s="59">
        <f t="shared" si="10"/>
        <v>1437912.1152000001</v>
      </c>
      <c r="X22" s="95">
        <v>1468456</v>
      </c>
      <c r="Y22" s="95">
        <v>34013.312999992399</v>
      </c>
      <c r="Z22" s="95">
        <v>0</v>
      </c>
      <c r="AB22" s="1">
        <f>IF(C22=RAD_NA1_2022!C22,0,100)</f>
        <v>0</v>
      </c>
      <c r="AD22" s="1" t="s">
        <v>6</v>
      </c>
      <c r="AE22" s="1">
        <f t="shared" si="4"/>
        <v>0</v>
      </c>
      <c r="AG22" s="1">
        <v>7663091.5199999996</v>
      </c>
      <c r="AH22" s="1">
        <f t="shared" si="5"/>
        <v>7663091.5199999996</v>
      </c>
    </row>
    <row r="23" spans="1:34" ht="14.45" customHeight="1" x14ac:dyDescent="0.25">
      <c r="A23" s="3">
        <v>470145</v>
      </c>
      <c r="B23" s="1" t="s">
        <v>103</v>
      </c>
      <c r="C23" s="32" t="s">
        <v>7</v>
      </c>
      <c r="D23" s="31">
        <v>35.68</v>
      </c>
      <c r="E23" s="24">
        <v>2728</v>
      </c>
      <c r="F23" s="29">
        <f t="shared" si="0"/>
        <v>97335.039999999994</v>
      </c>
      <c r="G23" s="29">
        <f t="shared" si="6"/>
        <v>73647.591659601705</v>
      </c>
      <c r="H23" s="24">
        <v>41859.441999999734</v>
      </c>
      <c r="I23" s="30">
        <f t="shared" si="1"/>
        <v>42165.490999999733</v>
      </c>
      <c r="J23" s="28">
        <f t="shared" si="2"/>
        <v>1.752993761020962</v>
      </c>
      <c r="K23" s="7">
        <v>470145</v>
      </c>
      <c r="L23" s="96">
        <v>38929.281059999747</v>
      </c>
      <c r="M23" s="27">
        <v>18</v>
      </c>
      <c r="N23" s="26">
        <f t="shared" si="7"/>
        <v>38929.281059999747</v>
      </c>
      <c r="O23" s="26"/>
      <c r="P23" s="26"/>
      <c r="Q23" s="26">
        <f t="shared" si="3"/>
        <v>778.58562119999499</v>
      </c>
      <c r="R23" s="3">
        <v>470145</v>
      </c>
      <c r="S23" s="25">
        <f t="shared" si="8"/>
        <v>38929.281059999747</v>
      </c>
      <c r="T23" s="25">
        <f t="shared" si="9"/>
        <v>778.58562119999499</v>
      </c>
      <c r="U23" s="59">
        <f t="shared" si="10"/>
        <v>39707.866681199739</v>
      </c>
      <c r="X23" s="95">
        <v>41859.441999999734</v>
      </c>
      <c r="Y23" s="95">
        <v>306.04899999999907</v>
      </c>
      <c r="Z23" s="95">
        <v>0</v>
      </c>
      <c r="AB23" s="1">
        <f>IF(C23=RAD_NA1_2022!C23,0,100)</f>
        <v>0</v>
      </c>
      <c r="AD23" s="1" t="s">
        <v>6</v>
      </c>
      <c r="AE23" s="1">
        <f t="shared" si="4"/>
        <v>100</v>
      </c>
      <c r="AG23" s="1">
        <v>280835.52</v>
      </c>
      <c r="AH23" s="1">
        <f t="shared" si="5"/>
        <v>280835.52</v>
      </c>
    </row>
    <row r="24" spans="1:34" x14ac:dyDescent="0.25">
      <c r="A24" s="3">
        <v>470182</v>
      </c>
      <c r="B24" s="1" t="s">
        <v>148</v>
      </c>
      <c r="C24" s="32" t="s">
        <v>9</v>
      </c>
      <c r="D24" s="31">
        <v>43.18</v>
      </c>
      <c r="E24" s="24">
        <v>39220</v>
      </c>
      <c r="F24" s="29">
        <f t="shared" si="0"/>
        <v>1693519.6</v>
      </c>
      <c r="G24" s="29">
        <f t="shared" si="6"/>
        <v>1281384.791831719</v>
      </c>
      <c r="H24" s="24">
        <v>1138560</v>
      </c>
      <c r="I24" s="30">
        <f t="shared" si="1"/>
        <v>1213511.8390000775</v>
      </c>
      <c r="J24" s="28">
        <f t="shared" si="2"/>
        <v>1.0895796383298111</v>
      </c>
      <c r="K24" s="7">
        <v>470182</v>
      </c>
      <c r="L24" s="96">
        <v>1058860.7999999998</v>
      </c>
      <c r="M24" s="27">
        <v>19</v>
      </c>
      <c r="N24" s="26">
        <v>76241.13</v>
      </c>
      <c r="O24" s="26">
        <f>+L24-N24</f>
        <v>982619.66999999981</v>
      </c>
      <c r="P24" s="26"/>
      <c r="Q24" s="26">
        <f t="shared" si="3"/>
        <v>1524.8226000000002</v>
      </c>
      <c r="R24" s="3">
        <v>470182</v>
      </c>
      <c r="S24" s="25">
        <f t="shared" si="8"/>
        <v>1058860.7999999998</v>
      </c>
      <c r="T24" s="25">
        <f t="shared" si="9"/>
        <v>1524.8226000000002</v>
      </c>
      <c r="U24" s="59">
        <f t="shared" si="10"/>
        <v>1060385.6225999999</v>
      </c>
      <c r="X24" s="95">
        <v>1138560</v>
      </c>
      <c r="Y24" s="95">
        <v>74951.839000077453</v>
      </c>
      <c r="Z24" s="95">
        <v>0</v>
      </c>
      <c r="AB24" s="1">
        <f>IF(C24=RAD_NA1_2022!C24,0,100)</f>
        <v>0</v>
      </c>
      <c r="AD24" s="1" t="s">
        <v>9</v>
      </c>
      <c r="AE24" s="1">
        <f t="shared" si="4"/>
        <v>0</v>
      </c>
      <c r="AG24" s="1">
        <v>697011.75</v>
      </c>
      <c r="AH24" s="1">
        <f t="shared" si="5"/>
        <v>697011.75</v>
      </c>
    </row>
    <row r="25" spans="1:34" ht="14.45" customHeight="1" x14ac:dyDescent="0.25">
      <c r="A25" s="3">
        <v>480181</v>
      </c>
      <c r="B25" s="1" t="s">
        <v>105</v>
      </c>
      <c r="C25" s="32" t="s">
        <v>9</v>
      </c>
      <c r="D25" s="31">
        <v>43.18</v>
      </c>
      <c r="E25" s="24">
        <v>14908</v>
      </c>
      <c r="F25" s="29">
        <f t="shared" si="0"/>
        <v>643727.43999999994</v>
      </c>
      <c r="G25" s="29">
        <f t="shared" si="6"/>
        <v>487069.97645658493</v>
      </c>
      <c r="H25" s="24">
        <v>225608</v>
      </c>
      <c r="I25" s="30">
        <f t="shared" si="1"/>
        <v>227274.93899999899</v>
      </c>
      <c r="J25" s="28">
        <f t="shared" si="2"/>
        <v>2.150975161625976</v>
      </c>
      <c r="K25" s="7" t="s">
        <v>137</v>
      </c>
      <c r="L25" s="96">
        <v>103032</v>
      </c>
      <c r="M25" s="27" t="s">
        <v>172</v>
      </c>
      <c r="N25" s="26"/>
      <c r="O25" s="26">
        <f>+L25</f>
        <v>103032</v>
      </c>
      <c r="P25" s="26"/>
      <c r="Q25" s="26">
        <f t="shared" si="3"/>
        <v>0</v>
      </c>
      <c r="R25" s="3">
        <v>480181</v>
      </c>
      <c r="S25" s="25">
        <f t="shared" si="8"/>
        <v>209815.43999999997</v>
      </c>
      <c r="T25" s="25">
        <f t="shared" si="9"/>
        <v>0</v>
      </c>
      <c r="U25" s="59">
        <f t="shared" si="10"/>
        <v>209815.43999999997</v>
      </c>
      <c r="X25" s="95">
        <v>225608</v>
      </c>
      <c r="Y25" s="95">
        <v>1666.9389999989944</v>
      </c>
      <c r="Z25" s="95">
        <v>0</v>
      </c>
      <c r="AB25" s="1">
        <f>IF(C25=RAD_NA1_2022!C25,0,100)</f>
        <v>0</v>
      </c>
      <c r="AD25" s="1" t="s">
        <v>6</v>
      </c>
      <c r="AE25" s="1">
        <f t="shared" si="4"/>
        <v>100</v>
      </c>
      <c r="AG25" s="1">
        <v>3521661.1199999996</v>
      </c>
      <c r="AH25" s="1">
        <f t="shared" si="5"/>
        <v>3521661.1199999996</v>
      </c>
    </row>
    <row r="26" spans="1:34" ht="14.45" customHeight="1" x14ac:dyDescent="0.25">
      <c r="A26" s="3">
        <v>480212</v>
      </c>
      <c r="B26" t="s">
        <v>149</v>
      </c>
      <c r="C26" s="32" t="s">
        <v>7</v>
      </c>
      <c r="D26" s="31">
        <v>35.68</v>
      </c>
      <c r="E26" s="24">
        <v>4258</v>
      </c>
      <c r="F26" s="29">
        <f t="shared" si="0"/>
        <v>151925.44</v>
      </c>
      <c r="G26" s="29">
        <f t="shared" si="6"/>
        <v>114952.87583819065</v>
      </c>
      <c r="H26" s="24">
        <v>4641</v>
      </c>
      <c r="I26" s="30">
        <f t="shared" si="1"/>
        <v>3978.0229999999988</v>
      </c>
      <c r="J26" s="28">
        <f t="shared" si="2"/>
        <v>26.674224175568543</v>
      </c>
      <c r="K26" s="7">
        <v>480181</v>
      </c>
      <c r="L26" s="96">
        <v>209815.43999999997</v>
      </c>
      <c r="M26" s="27">
        <v>20</v>
      </c>
      <c r="N26" s="26"/>
      <c r="O26" s="26">
        <f t="shared" ref="O26:O40" si="11">+L26</f>
        <v>209815.43999999997</v>
      </c>
      <c r="P26" s="26"/>
      <c r="Q26" s="26">
        <f t="shared" si="3"/>
        <v>0</v>
      </c>
      <c r="R26" s="3">
        <v>480212</v>
      </c>
      <c r="S26" s="25">
        <f t="shared" si="8"/>
        <v>4316.13</v>
      </c>
      <c r="T26" s="25">
        <f t="shared" si="9"/>
        <v>0</v>
      </c>
      <c r="U26" s="59">
        <f t="shared" si="10"/>
        <v>4316.13</v>
      </c>
      <c r="X26" s="95">
        <v>3978.0229999999988</v>
      </c>
      <c r="Y26" s="95">
        <v>0</v>
      </c>
      <c r="Z26" s="95">
        <v>0</v>
      </c>
      <c r="AB26" s="1">
        <f>IF(C26=RAD_NA1_2022!C26,0,100)</f>
        <v>0</v>
      </c>
      <c r="AD26" s="1" t="s">
        <v>7</v>
      </c>
      <c r="AE26" s="1">
        <f t="shared" si="4"/>
        <v>0</v>
      </c>
      <c r="AG26" s="1">
        <v>316090.25999999995</v>
      </c>
      <c r="AH26" s="1">
        <f t="shared" si="5"/>
        <v>316090.25999999995</v>
      </c>
    </row>
    <row r="27" spans="1:34" ht="14.45" customHeight="1" x14ac:dyDescent="0.25">
      <c r="A27" s="3">
        <v>490241</v>
      </c>
      <c r="B27" s="1" t="s">
        <v>150</v>
      </c>
      <c r="C27" s="32" t="s">
        <v>7</v>
      </c>
      <c r="D27" s="31">
        <v>35.68</v>
      </c>
      <c r="E27" s="24">
        <v>25805</v>
      </c>
      <c r="F27" s="29">
        <f t="shared" si="0"/>
        <v>920722.4</v>
      </c>
      <c r="G27" s="29">
        <f t="shared" si="6"/>
        <v>696655.46289443632</v>
      </c>
      <c r="H27" s="24">
        <v>294216.22300000512</v>
      </c>
      <c r="I27" s="30">
        <f t="shared" si="1"/>
        <v>283736.23300000245</v>
      </c>
      <c r="J27" s="28">
        <f t="shared" si="2"/>
        <v>2.4107708364662686</v>
      </c>
      <c r="K27" s="7">
        <v>480212</v>
      </c>
      <c r="L27" s="96">
        <v>4316.13</v>
      </c>
      <c r="M27" s="27">
        <v>21</v>
      </c>
      <c r="N27" s="26"/>
      <c r="O27" s="26">
        <f t="shared" si="11"/>
        <v>4316.13</v>
      </c>
      <c r="P27" s="26"/>
      <c r="Q27" s="26">
        <f t="shared" si="3"/>
        <v>0</v>
      </c>
      <c r="R27" s="3">
        <v>490241</v>
      </c>
      <c r="S27" s="25">
        <f t="shared" si="8"/>
        <v>273621.08739000472</v>
      </c>
      <c r="T27" s="25">
        <f t="shared" si="9"/>
        <v>0</v>
      </c>
      <c r="U27" s="59">
        <f t="shared" si="10"/>
        <v>273621.08739000472</v>
      </c>
      <c r="X27" s="95">
        <v>283736.23300000245</v>
      </c>
      <c r="Y27" s="95">
        <v>0</v>
      </c>
      <c r="Z27" s="95">
        <v>0</v>
      </c>
      <c r="AB27" s="1">
        <f>IF(C27=RAD_NA1_2022!C27,0,100)</f>
        <v>0</v>
      </c>
      <c r="AD27" s="1" t="s">
        <v>6</v>
      </c>
      <c r="AE27" s="1">
        <f t="shared" si="4"/>
        <v>100</v>
      </c>
      <c r="AG27" s="1">
        <v>1945992.96</v>
      </c>
      <c r="AH27" s="1">
        <f t="shared" si="5"/>
        <v>1945992.96</v>
      </c>
    </row>
    <row r="28" spans="1:34" ht="14.45" customHeight="1" x14ac:dyDescent="0.25">
      <c r="A28" s="3">
        <v>490246</v>
      </c>
      <c r="B28" s="1" t="s">
        <v>151</v>
      </c>
      <c r="C28" s="32" t="s">
        <v>6</v>
      </c>
      <c r="D28" s="31">
        <v>76.17</v>
      </c>
      <c r="E28" s="24">
        <v>16546</v>
      </c>
      <c r="F28" s="29">
        <f t="shared" si="0"/>
        <v>1260308.82</v>
      </c>
      <c r="G28" s="29">
        <f t="shared" si="6"/>
        <v>953600.15612419217</v>
      </c>
      <c r="H28" s="24">
        <v>497283.97500000033</v>
      </c>
      <c r="I28" s="30">
        <f t="shared" si="1"/>
        <v>554388.33200000366</v>
      </c>
      <c r="J28" s="28">
        <f t="shared" si="2"/>
        <v>1.8134929479020474</v>
      </c>
      <c r="K28" s="7">
        <v>490241</v>
      </c>
      <c r="L28" s="96">
        <v>273621.08739000472</v>
      </c>
      <c r="M28" s="27">
        <v>22</v>
      </c>
      <c r="N28" s="26"/>
      <c r="O28" s="26">
        <f t="shared" si="11"/>
        <v>273621.08739000472</v>
      </c>
      <c r="P28" s="26"/>
      <c r="Q28" s="26">
        <f t="shared" si="3"/>
        <v>0</v>
      </c>
      <c r="R28" s="3">
        <v>490246</v>
      </c>
      <c r="S28" s="25">
        <f t="shared" si="8"/>
        <v>477392.61600000027</v>
      </c>
      <c r="T28" s="25">
        <f t="shared" si="9"/>
        <v>0</v>
      </c>
      <c r="U28" s="59">
        <f t="shared" si="10"/>
        <v>477392.61600000027</v>
      </c>
      <c r="X28" s="95">
        <v>497283.97500000033</v>
      </c>
      <c r="Y28" s="95">
        <v>49728.397500000036</v>
      </c>
      <c r="Z28" s="95">
        <v>7375.9595000033005</v>
      </c>
      <c r="AB28" s="1">
        <f>IF(C28=RAD_NA1_2022!C28,0,100)</f>
        <v>0</v>
      </c>
      <c r="AD28" s="1" t="s">
        <v>7</v>
      </c>
      <c r="AE28" s="1">
        <f t="shared" si="4"/>
        <v>100</v>
      </c>
      <c r="AG28" s="1">
        <v>288791.03999999998</v>
      </c>
      <c r="AH28" s="1">
        <f t="shared" si="5"/>
        <v>288791.03999999998</v>
      </c>
    </row>
    <row r="29" spans="1:34" ht="14.45" customHeight="1" x14ac:dyDescent="0.25">
      <c r="A29" s="3">
        <v>490248</v>
      </c>
      <c r="B29" s="1" t="s">
        <v>152</v>
      </c>
      <c r="C29" s="32" t="s">
        <v>9</v>
      </c>
      <c r="D29" s="31">
        <v>43.18</v>
      </c>
      <c r="E29" s="24">
        <v>10562</v>
      </c>
      <c r="F29" s="29">
        <f t="shared" si="0"/>
        <v>456067.16</v>
      </c>
      <c r="G29" s="29">
        <f t="shared" si="6"/>
        <v>345078.68871307024</v>
      </c>
      <c r="H29" s="24">
        <v>443239</v>
      </c>
      <c r="I29" s="30">
        <f t="shared" si="1"/>
        <v>437558.00799999677</v>
      </c>
      <c r="J29" s="28">
        <f t="shared" si="2"/>
        <v>0.78356008383051068</v>
      </c>
      <c r="K29" s="7">
        <v>490246</v>
      </c>
      <c r="L29" s="96">
        <v>477392.61600000027</v>
      </c>
      <c r="M29" s="27">
        <v>23</v>
      </c>
      <c r="N29" s="26"/>
      <c r="O29" s="26">
        <f t="shared" si="11"/>
        <v>477392.61600000027</v>
      </c>
      <c r="P29" s="26"/>
      <c r="Q29" s="26">
        <f t="shared" si="3"/>
        <v>0</v>
      </c>
      <c r="R29" s="3">
        <v>490248</v>
      </c>
      <c r="S29" s="25">
        <f t="shared" si="8"/>
        <v>412212.26999999996</v>
      </c>
      <c r="T29" s="25">
        <f t="shared" si="9"/>
        <v>0</v>
      </c>
      <c r="U29" s="59">
        <f t="shared" si="10"/>
        <v>412212.26999999996</v>
      </c>
      <c r="X29" s="95">
        <v>437558.00799999677</v>
      </c>
      <c r="Y29" s="95">
        <v>0</v>
      </c>
      <c r="Z29" s="95">
        <v>0</v>
      </c>
      <c r="AB29" s="1">
        <f>IF(C29=RAD_NA1_2022!C29,0,100)</f>
        <v>0</v>
      </c>
      <c r="AD29" s="1" t="s">
        <v>9</v>
      </c>
      <c r="AE29" s="1">
        <f t="shared" si="4"/>
        <v>0</v>
      </c>
      <c r="AG29" s="1">
        <v>142792.19999999998</v>
      </c>
      <c r="AH29" s="1">
        <f t="shared" si="5"/>
        <v>142792.19999999998</v>
      </c>
    </row>
    <row r="30" spans="1:34" ht="14.45" customHeight="1" x14ac:dyDescent="0.25">
      <c r="A30" s="3">
        <v>500230</v>
      </c>
      <c r="B30" s="1" t="s">
        <v>153</v>
      </c>
      <c r="C30" s="32" t="s">
        <v>7</v>
      </c>
      <c r="D30" s="31">
        <v>35.68</v>
      </c>
      <c r="E30" s="24">
        <v>12224</v>
      </c>
      <c r="F30" s="29">
        <f t="shared" si="0"/>
        <v>436152.32000000001</v>
      </c>
      <c r="G30" s="29">
        <f t="shared" si="6"/>
        <v>330010.32274449093</v>
      </c>
      <c r="H30" s="24">
        <v>302669.68500000954</v>
      </c>
      <c r="I30" s="30">
        <f t="shared" si="1"/>
        <v>288696.35700000788</v>
      </c>
      <c r="J30" s="28">
        <f t="shared" si="2"/>
        <v>1.1160949371674651</v>
      </c>
      <c r="K30" s="7">
        <v>490248</v>
      </c>
      <c r="L30" s="96">
        <v>412212.26999999996</v>
      </c>
      <c r="M30" s="27">
        <v>24</v>
      </c>
      <c r="N30" s="26"/>
      <c r="O30" s="26">
        <f t="shared" si="11"/>
        <v>412212.26999999996</v>
      </c>
      <c r="P30" s="26"/>
      <c r="Q30" s="26">
        <f t="shared" si="3"/>
        <v>0</v>
      </c>
      <c r="R30" s="3">
        <v>500230</v>
      </c>
      <c r="S30" s="25">
        <f t="shared" si="8"/>
        <v>281482.80705000885</v>
      </c>
      <c r="T30" s="25">
        <f t="shared" si="9"/>
        <v>0</v>
      </c>
      <c r="U30" s="59">
        <f t="shared" si="10"/>
        <v>281482.80705000885</v>
      </c>
      <c r="X30" s="95">
        <v>288696.35700000788</v>
      </c>
      <c r="Y30" s="95">
        <v>0</v>
      </c>
      <c r="Z30" s="95">
        <v>0</v>
      </c>
      <c r="AB30" s="1">
        <f>IF(C30=RAD_NA1_2022!C30,0,100)</f>
        <v>0</v>
      </c>
      <c r="AD30" s="1" t="s">
        <v>6</v>
      </c>
      <c r="AE30" s="1">
        <f t="shared" si="4"/>
        <v>100</v>
      </c>
      <c r="AG30" s="1">
        <v>5723863.6799999997</v>
      </c>
      <c r="AH30" s="1">
        <f t="shared" si="5"/>
        <v>5723863.6799999997</v>
      </c>
    </row>
    <row r="31" spans="1:34" ht="14.45" customHeight="1" x14ac:dyDescent="0.25">
      <c r="A31" s="3">
        <v>500231</v>
      </c>
      <c r="B31" s="1" t="s">
        <v>111</v>
      </c>
      <c r="C31" s="32" t="s">
        <v>6</v>
      </c>
      <c r="D31" s="31">
        <v>76.17</v>
      </c>
      <c r="E31" s="24">
        <v>45932</v>
      </c>
      <c r="F31" s="29">
        <f t="shared" si="0"/>
        <v>3498640.44</v>
      </c>
      <c r="G31" s="29">
        <f t="shared" si="6"/>
        <v>2647211.5539161363</v>
      </c>
      <c r="H31" s="24">
        <v>1572860.7520002022</v>
      </c>
      <c r="I31" s="30">
        <f t="shared" si="1"/>
        <v>1603484.0860001019</v>
      </c>
      <c r="J31" s="28">
        <f t="shared" si="2"/>
        <v>1.6668288167242646</v>
      </c>
      <c r="K31" s="7">
        <v>500230</v>
      </c>
      <c r="L31" s="96">
        <v>281482.80705000885</v>
      </c>
      <c r="M31" s="27">
        <v>25</v>
      </c>
      <c r="N31" s="26"/>
      <c r="O31" s="26">
        <f t="shared" si="11"/>
        <v>281482.80705000885</v>
      </c>
      <c r="P31" s="26"/>
      <c r="Q31" s="26">
        <f t="shared" si="3"/>
        <v>0</v>
      </c>
      <c r="R31" s="3">
        <v>500231</v>
      </c>
      <c r="S31" s="25">
        <f t="shared" si="8"/>
        <v>1509946.321920194</v>
      </c>
      <c r="T31" s="25">
        <f t="shared" si="9"/>
        <v>0</v>
      </c>
      <c r="U31" s="59">
        <f t="shared" si="10"/>
        <v>1509946.321920194</v>
      </c>
      <c r="X31" s="95">
        <v>1572860.7520002022</v>
      </c>
      <c r="Y31" s="95">
        <v>30623.333999899682</v>
      </c>
      <c r="Z31" s="95">
        <v>0</v>
      </c>
      <c r="AB31" s="1">
        <f>IF(C31=RAD_NA1_2022!C31,0,100)</f>
        <v>0</v>
      </c>
      <c r="AD31" s="1" t="s">
        <v>6</v>
      </c>
      <c r="AE31" s="1">
        <f t="shared" si="4"/>
        <v>0</v>
      </c>
      <c r="AG31" s="1">
        <v>648655.67999999993</v>
      </c>
      <c r="AH31" s="1">
        <f t="shared" si="5"/>
        <v>648655.67999999993</v>
      </c>
    </row>
    <row r="32" spans="1:34" ht="14.45" customHeight="1" x14ac:dyDescent="0.25">
      <c r="A32" s="3">
        <v>500232</v>
      </c>
      <c r="B32" s="1" t="s">
        <v>154</v>
      </c>
      <c r="C32" s="32" t="s">
        <v>7</v>
      </c>
      <c r="D32" s="31">
        <v>35.68</v>
      </c>
      <c r="E32" s="24">
        <v>11735</v>
      </c>
      <c r="F32" s="29">
        <f t="shared" si="0"/>
        <v>418704.8</v>
      </c>
      <c r="G32" s="29">
        <f t="shared" si="6"/>
        <v>316808.82995800074</v>
      </c>
      <c r="H32" s="24">
        <v>67206.731000000407</v>
      </c>
      <c r="I32" s="30">
        <f t="shared" si="1"/>
        <v>189456.62707447493</v>
      </c>
      <c r="J32" s="28">
        <f t="shared" si="2"/>
        <v>2.4686720561496989</v>
      </c>
      <c r="K32" s="7">
        <v>500231</v>
      </c>
      <c r="L32" s="96">
        <v>1509946.321920194</v>
      </c>
      <c r="M32" s="27">
        <v>26</v>
      </c>
      <c r="N32" s="26"/>
      <c r="O32" s="26">
        <f t="shared" si="11"/>
        <v>1509946.321920194</v>
      </c>
      <c r="P32" s="26"/>
      <c r="Q32" s="26">
        <f t="shared" si="3"/>
        <v>0</v>
      </c>
      <c r="R32" s="3">
        <v>500232</v>
      </c>
      <c r="S32" s="25">
        <f t="shared" si="8"/>
        <v>62502.259830000374</v>
      </c>
      <c r="T32" s="25">
        <f t="shared" si="9"/>
        <v>0</v>
      </c>
      <c r="U32" s="59">
        <f t="shared" si="10"/>
        <v>62502.259830000374</v>
      </c>
      <c r="X32" s="95">
        <v>67206.731000000407</v>
      </c>
      <c r="Y32" s="95">
        <v>6720.6731000000409</v>
      </c>
      <c r="Z32" s="95">
        <v>115529.22297447448</v>
      </c>
      <c r="AB32" s="1">
        <f>IF(C32=RAD_NA1_2022!C32,0,100)</f>
        <v>0</v>
      </c>
      <c r="AD32" s="1" t="s">
        <v>8</v>
      </c>
      <c r="AE32" s="1">
        <f t="shared" si="4"/>
        <v>100</v>
      </c>
      <c r="AG32" s="1">
        <v>55111.799999999996</v>
      </c>
      <c r="AH32" s="1">
        <f t="shared" si="5"/>
        <v>55111.799999999996</v>
      </c>
    </row>
    <row r="33" spans="1:34" ht="14.45" customHeight="1" x14ac:dyDescent="0.25">
      <c r="A33" s="3">
        <v>500233</v>
      </c>
      <c r="B33" s="1" t="s">
        <v>155</v>
      </c>
      <c r="C33" s="32" t="s">
        <v>9</v>
      </c>
      <c r="D33" s="31">
        <v>43.18</v>
      </c>
      <c r="E33" s="24">
        <v>16569</v>
      </c>
      <c r="F33" s="29">
        <f t="shared" si="0"/>
        <v>715449.42</v>
      </c>
      <c r="G33" s="29">
        <f t="shared" si="6"/>
        <v>541337.7005573624</v>
      </c>
      <c r="H33" s="24">
        <v>171233.31899999524</v>
      </c>
      <c r="I33" s="30">
        <f t="shared" si="1"/>
        <v>171822.6859999981</v>
      </c>
      <c r="J33" s="28">
        <f t="shared" si="2"/>
        <v>3.1559727430357785</v>
      </c>
      <c r="K33" s="7">
        <v>500232</v>
      </c>
      <c r="L33" s="96">
        <v>62502.259830000374</v>
      </c>
      <c r="M33" s="27">
        <v>27</v>
      </c>
      <c r="N33" s="26"/>
      <c r="O33" s="26">
        <f t="shared" si="11"/>
        <v>62502.259830000374</v>
      </c>
      <c r="P33" s="26"/>
      <c r="Q33" s="26">
        <f t="shared" si="3"/>
        <v>0</v>
      </c>
      <c r="R33" s="3">
        <v>500233</v>
      </c>
      <c r="S33" s="25">
        <f t="shared" si="8"/>
        <v>159246.98666999556</v>
      </c>
      <c r="T33" s="25">
        <f t="shared" si="9"/>
        <v>0</v>
      </c>
      <c r="U33" s="59">
        <f t="shared" si="10"/>
        <v>159246.98666999556</v>
      </c>
      <c r="X33" s="95">
        <v>171233.31899999524</v>
      </c>
      <c r="Y33" s="95">
        <v>589.36700000285055</v>
      </c>
      <c r="Z33" s="95">
        <v>0</v>
      </c>
      <c r="AB33" s="1">
        <f>IF(C33=RAD_NA1_2022!C33,0,100)</f>
        <v>0</v>
      </c>
      <c r="AD33" s="1" t="s">
        <v>6</v>
      </c>
      <c r="AE33" s="1">
        <f t="shared" si="4"/>
        <v>100</v>
      </c>
      <c r="AG33" s="1">
        <v>2237256</v>
      </c>
      <c r="AH33" s="1">
        <f t="shared" si="5"/>
        <v>2237256</v>
      </c>
    </row>
    <row r="34" spans="1:34" ht="14.45" customHeight="1" x14ac:dyDescent="0.25">
      <c r="A34" s="3">
        <v>500234</v>
      </c>
      <c r="B34" s="1" t="s">
        <v>114</v>
      </c>
      <c r="C34" s="32" t="s">
        <v>9</v>
      </c>
      <c r="D34" s="31">
        <v>43.18</v>
      </c>
      <c r="E34" s="24">
        <v>16492</v>
      </c>
      <c r="F34" s="29">
        <f t="shared" si="0"/>
        <v>712124.55999999994</v>
      </c>
      <c r="G34" s="29">
        <f t="shared" si="6"/>
        <v>538821.97824805474</v>
      </c>
      <c r="H34" s="24">
        <v>324787</v>
      </c>
      <c r="I34" s="30">
        <f t="shared" si="1"/>
        <v>326701.39500000625</v>
      </c>
      <c r="J34" s="28">
        <f t="shared" si="2"/>
        <v>1.6541260976660974</v>
      </c>
      <c r="K34" s="7">
        <v>500233</v>
      </c>
      <c r="L34" s="96">
        <v>159246.98666999556</v>
      </c>
      <c r="M34" s="27">
        <v>28</v>
      </c>
      <c r="N34" s="26"/>
      <c r="O34" s="26">
        <f t="shared" si="11"/>
        <v>159246.98666999556</v>
      </c>
      <c r="P34" s="26"/>
      <c r="Q34" s="26">
        <f t="shared" si="3"/>
        <v>0</v>
      </c>
      <c r="R34" s="3">
        <v>500234</v>
      </c>
      <c r="S34" s="25">
        <f t="shared" si="8"/>
        <v>302051.90999999997</v>
      </c>
      <c r="T34" s="25">
        <f t="shared" si="9"/>
        <v>0</v>
      </c>
      <c r="U34" s="59">
        <f t="shared" si="10"/>
        <v>302051.90999999997</v>
      </c>
      <c r="X34" s="95">
        <v>324787</v>
      </c>
      <c r="Y34" s="95">
        <v>1914.3950000062468</v>
      </c>
      <c r="Z34" s="95">
        <v>0</v>
      </c>
      <c r="AB34" s="1">
        <f>IF(C34=RAD_NA1_2022!C34,0,100)</f>
        <v>0</v>
      </c>
      <c r="AD34" s="1" t="s">
        <v>6</v>
      </c>
      <c r="AE34" s="1">
        <f t="shared" si="4"/>
        <v>100</v>
      </c>
      <c r="AG34" s="1">
        <v>394024.32</v>
      </c>
      <c r="AH34" s="1">
        <f t="shared" si="5"/>
        <v>394024.32</v>
      </c>
    </row>
    <row r="35" spans="1:34" ht="14.45" customHeight="1" x14ac:dyDescent="0.25">
      <c r="A35" s="3">
        <v>510270</v>
      </c>
      <c r="B35" s="1" t="s">
        <v>156</v>
      </c>
      <c r="C35" s="32" t="s">
        <v>7</v>
      </c>
      <c r="D35" s="31">
        <v>35.68</v>
      </c>
      <c r="E35" s="24">
        <v>10094</v>
      </c>
      <c r="F35" s="29">
        <f t="shared" si="0"/>
        <v>360153.92</v>
      </c>
      <c r="G35" s="29">
        <f t="shared" si="6"/>
        <v>272506.88790763181</v>
      </c>
      <c r="H35" s="24">
        <v>170727.32599999948</v>
      </c>
      <c r="I35" s="30">
        <f t="shared" si="1"/>
        <v>166491.86499999737</v>
      </c>
      <c r="J35" s="28">
        <f t="shared" si="2"/>
        <v>1.6162003538383103</v>
      </c>
      <c r="K35" s="7">
        <v>500234</v>
      </c>
      <c r="L35" s="96">
        <v>302051.90999999997</v>
      </c>
      <c r="M35" s="27">
        <v>29</v>
      </c>
      <c r="N35" s="26"/>
      <c r="O35" s="26">
        <f t="shared" si="11"/>
        <v>302051.90999999997</v>
      </c>
      <c r="P35" s="26"/>
      <c r="Q35" s="26">
        <f t="shared" si="3"/>
        <v>0</v>
      </c>
      <c r="R35" s="3">
        <v>510270</v>
      </c>
      <c r="S35" s="25">
        <f t="shared" si="8"/>
        <v>158776.41317999951</v>
      </c>
      <c r="T35" s="25">
        <f t="shared" si="9"/>
        <v>0</v>
      </c>
      <c r="U35" s="59">
        <f t="shared" si="10"/>
        <v>158776.41317999951</v>
      </c>
      <c r="X35" s="95">
        <v>166491.86499999737</v>
      </c>
      <c r="Y35" s="95">
        <v>0</v>
      </c>
      <c r="Z35" s="95">
        <v>0</v>
      </c>
      <c r="AB35" s="1">
        <f>IF(C35=RAD_NA1_2022!C35,0,100)</f>
        <v>0</v>
      </c>
      <c r="AD35" s="1" t="s">
        <v>7</v>
      </c>
      <c r="AE35" s="1">
        <f t="shared" si="4"/>
        <v>0</v>
      </c>
      <c r="AG35" s="1">
        <v>147764.91</v>
      </c>
      <c r="AH35" s="1">
        <f t="shared" si="5"/>
        <v>147764.91</v>
      </c>
    </row>
    <row r="36" spans="1:34" ht="14.45" customHeight="1" x14ac:dyDescent="0.25">
      <c r="A36" s="3">
        <v>510271</v>
      </c>
      <c r="B36" s="1" t="s">
        <v>157</v>
      </c>
      <c r="C36" s="32" t="s">
        <v>7</v>
      </c>
      <c r="D36" s="31">
        <v>35.68</v>
      </c>
      <c r="E36" s="24">
        <v>11902</v>
      </c>
      <c r="F36" s="29">
        <f t="shared" si="0"/>
        <v>424663.36</v>
      </c>
      <c r="G36" s="29">
        <f t="shared" si="6"/>
        <v>321317.31522455264</v>
      </c>
      <c r="H36" s="24">
        <v>137308</v>
      </c>
      <c r="I36" s="30">
        <f t="shared" si="1"/>
        <v>114249.88315395222</v>
      </c>
      <c r="J36" s="28">
        <f t="shared" si="2"/>
        <v>2.5546193281321896</v>
      </c>
      <c r="K36" s="7">
        <v>510270</v>
      </c>
      <c r="L36" s="96">
        <v>158776.41317999951</v>
      </c>
      <c r="M36" s="27">
        <v>30</v>
      </c>
      <c r="N36" s="26"/>
      <c r="O36" s="26">
        <f t="shared" si="11"/>
        <v>158776.41317999951</v>
      </c>
      <c r="P36" s="26"/>
      <c r="Q36" s="26">
        <f t="shared" si="3"/>
        <v>0</v>
      </c>
      <c r="R36" s="3">
        <v>510271</v>
      </c>
      <c r="S36" s="25">
        <f t="shared" si="8"/>
        <v>127696.43999999999</v>
      </c>
      <c r="T36" s="25">
        <f t="shared" si="9"/>
        <v>0</v>
      </c>
      <c r="U36" s="59">
        <f t="shared" si="10"/>
        <v>127696.43999999999</v>
      </c>
      <c r="X36" s="95">
        <v>114249.88315395222</v>
      </c>
      <c r="Y36" s="95">
        <v>0</v>
      </c>
      <c r="Z36" s="95">
        <v>0</v>
      </c>
      <c r="AB36" s="1">
        <f>IF(C36=RAD_NA1_2022!C36,0,100)</f>
        <v>0</v>
      </c>
      <c r="AD36" s="1" t="s">
        <v>9</v>
      </c>
      <c r="AE36" s="1">
        <f t="shared" si="4"/>
        <v>100</v>
      </c>
      <c r="AG36" s="1">
        <v>426564.95999999996</v>
      </c>
      <c r="AH36" s="1">
        <f t="shared" si="5"/>
        <v>426564.95999999996</v>
      </c>
    </row>
    <row r="37" spans="1:34" ht="14.45" customHeight="1" x14ac:dyDescent="0.25">
      <c r="A37" s="3">
        <v>510299</v>
      </c>
      <c r="B37" s="1" t="s">
        <v>158</v>
      </c>
      <c r="C37" s="32" t="s">
        <v>9</v>
      </c>
      <c r="D37" s="31">
        <v>43.18</v>
      </c>
      <c r="E37" s="24">
        <v>24084</v>
      </c>
      <c r="F37" s="29">
        <f t="shared" si="0"/>
        <v>1039947.12</v>
      </c>
      <c r="G37" s="29">
        <f t="shared" si="6"/>
        <v>786865.6636021192</v>
      </c>
      <c r="H37" s="24">
        <v>659222</v>
      </c>
      <c r="I37" s="30">
        <f t="shared" si="1"/>
        <v>667625.29700001283</v>
      </c>
      <c r="J37" s="28">
        <f t="shared" si="2"/>
        <v>1.1860681562696986</v>
      </c>
      <c r="K37" s="7">
        <v>510271</v>
      </c>
      <c r="L37" s="96">
        <v>127696.43999999999</v>
      </c>
      <c r="M37" s="27">
        <v>31</v>
      </c>
      <c r="N37" s="26"/>
      <c r="O37" s="26">
        <f t="shared" si="11"/>
        <v>127696.43999999999</v>
      </c>
      <c r="P37" s="26"/>
      <c r="Q37" s="26">
        <f t="shared" si="3"/>
        <v>0</v>
      </c>
      <c r="R37" s="3">
        <v>510299</v>
      </c>
      <c r="S37" s="25">
        <f t="shared" si="8"/>
        <v>613076.46</v>
      </c>
      <c r="T37" s="25">
        <f t="shared" si="9"/>
        <v>0</v>
      </c>
      <c r="U37" s="59">
        <f t="shared" si="10"/>
        <v>613076.46</v>
      </c>
      <c r="X37" s="95">
        <v>659222</v>
      </c>
      <c r="Y37" s="95">
        <v>8403.2970000128262</v>
      </c>
      <c r="Z37" s="95">
        <v>0</v>
      </c>
      <c r="AB37" s="1">
        <f>IF(C37=RAD_NA1_2022!C37,0,100)</f>
        <v>0</v>
      </c>
      <c r="AD37" s="1" t="s">
        <v>8</v>
      </c>
      <c r="AE37" s="1">
        <f t="shared" si="4"/>
        <v>100</v>
      </c>
      <c r="AG37" s="1">
        <v>165079.65</v>
      </c>
      <c r="AH37" s="1">
        <f t="shared" si="5"/>
        <v>165079.65</v>
      </c>
    </row>
    <row r="38" spans="1:34" ht="14.45" customHeight="1" x14ac:dyDescent="0.25">
      <c r="A38" s="3">
        <v>520314</v>
      </c>
      <c r="B38" s="1" t="s">
        <v>159</v>
      </c>
      <c r="C38" s="32" t="s">
        <v>9</v>
      </c>
      <c r="D38" s="31">
        <v>43.18</v>
      </c>
      <c r="E38" s="24">
        <v>3511</v>
      </c>
      <c r="F38" s="29">
        <f t="shared" si="0"/>
        <v>151604.98000000001</v>
      </c>
      <c r="G38" s="29">
        <f t="shared" si="6"/>
        <v>114710.40296076403</v>
      </c>
      <c r="H38" s="24">
        <v>544402</v>
      </c>
      <c r="I38" s="30">
        <f t="shared" si="1"/>
        <v>565229.49999999697</v>
      </c>
      <c r="J38" s="28">
        <f t="shared" si="2"/>
        <v>0.20675404935920499</v>
      </c>
      <c r="K38" s="7">
        <v>510299</v>
      </c>
      <c r="L38" s="96">
        <v>613076.46</v>
      </c>
      <c r="M38" s="27">
        <v>32</v>
      </c>
      <c r="N38" s="26"/>
      <c r="O38" s="26">
        <f t="shared" si="11"/>
        <v>613076.46</v>
      </c>
      <c r="P38" s="26"/>
      <c r="Q38" s="26">
        <f t="shared" si="3"/>
        <v>0</v>
      </c>
      <c r="R38" s="3">
        <v>520314</v>
      </c>
      <c r="S38" s="25">
        <f t="shared" si="8"/>
        <v>506293.86</v>
      </c>
      <c r="T38" s="25">
        <f t="shared" si="9"/>
        <v>0</v>
      </c>
      <c r="U38" s="59">
        <f t="shared" si="10"/>
        <v>506293.86</v>
      </c>
      <c r="X38" s="95">
        <v>544402</v>
      </c>
      <c r="Y38" s="95">
        <v>20827.499999996973</v>
      </c>
      <c r="Z38" s="95">
        <v>0</v>
      </c>
      <c r="AB38" s="1">
        <f>IF(C38=RAD_NA1_2022!C38,0,100)</f>
        <v>0</v>
      </c>
      <c r="AD38" s="1" t="s">
        <v>6</v>
      </c>
      <c r="AE38" s="1">
        <f t="shared" si="4"/>
        <v>100</v>
      </c>
      <c r="AG38" s="1">
        <v>325191.36</v>
      </c>
      <c r="AH38" s="1">
        <f t="shared" si="5"/>
        <v>325191.36</v>
      </c>
    </row>
    <row r="39" spans="1:34" ht="14.45" customHeight="1" x14ac:dyDescent="0.25">
      <c r="A39" s="3">
        <v>520316</v>
      </c>
      <c r="B39" s="1" t="s">
        <v>160</v>
      </c>
      <c r="C39" s="32" t="s">
        <v>9</v>
      </c>
      <c r="D39" s="31">
        <v>43.18</v>
      </c>
      <c r="E39" s="24">
        <v>23569</v>
      </c>
      <c r="F39" s="29">
        <f t="shared" si="0"/>
        <v>1017709.42</v>
      </c>
      <c r="G39" s="29">
        <f t="shared" si="6"/>
        <v>770039.72867623111</v>
      </c>
      <c r="H39" s="24">
        <v>269687.10300000408</v>
      </c>
      <c r="I39" s="30">
        <f t="shared" si="1"/>
        <v>288862.28400000872</v>
      </c>
      <c r="J39" s="28">
        <f t="shared" si="2"/>
        <v>2.7572843032274728</v>
      </c>
      <c r="K39" s="7">
        <v>520314</v>
      </c>
      <c r="L39" s="96">
        <v>506293.86</v>
      </c>
      <c r="M39" s="27">
        <v>33</v>
      </c>
      <c r="N39" s="26"/>
      <c r="O39" s="26">
        <f t="shared" si="11"/>
        <v>506293.86</v>
      </c>
      <c r="P39" s="26"/>
      <c r="Q39" s="26">
        <f t="shared" si="3"/>
        <v>0</v>
      </c>
      <c r="R39" s="3">
        <v>520316</v>
      </c>
      <c r="S39" s="25">
        <f t="shared" si="8"/>
        <v>250809.00579000378</v>
      </c>
      <c r="T39" s="25">
        <f t="shared" si="9"/>
        <v>0</v>
      </c>
      <c r="U39" s="59">
        <f t="shared" si="10"/>
        <v>250809.00579000378</v>
      </c>
      <c r="X39" s="95">
        <v>269687.10300000408</v>
      </c>
      <c r="Y39" s="95">
        <v>19175.181000004639</v>
      </c>
      <c r="Z39" s="95">
        <v>0</v>
      </c>
      <c r="AB39" s="1">
        <f>IF(C39=RAD_NA1_2022!C39,0,100)</f>
        <v>0</v>
      </c>
      <c r="AD39" s="1" t="s">
        <v>7</v>
      </c>
      <c r="AE39" s="1">
        <f t="shared" si="4"/>
        <v>100</v>
      </c>
      <c r="AG39" s="1">
        <v>73451.399999999994</v>
      </c>
      <c r="AH39" s="1">
        <f t="shared" si="5"/>
        <v>73451.399999999994</v>
      </c>
    </row>
    <row r="40" spans="1:34" ht="14.45" customHeight="1" x14ac:dyDescent="0.25">
      <c r="A40" s="3">
        <v>520333</v>
      </c>
      <c r="B40" s="1" t="s">
        <v>161</v>
      </c>
      <c r="C40" s="32" t="s">
        <v>7</v>
      </c>
      <c r="D40" s="31">
        <v>35.68</v>
      </c>
      <c r="E40" s="24">
        <v>30638</v>
      </c>
      <c r="F40" s="29">
        <f t="shared" si="0"/>
        <v>1093163.8400000001</v>
      </c>
      <c r="G40" s="29">
        <f t="shared" si="6"/>
        <v>827131.56644680258</v>
      </c>
      <c r="H40" s="24">
        <v>347630.4</v>
      </c>
      <c r="I40" s="30">
        <f t="shared" si="1"/>
        <v>364894.61299999699</v>
      </c>
      <c r="J40" s="28">
        <f t="shared" si="2"/>
        <v>2.3216913128825305</v>
      </c>
      <c r="K40" s="7">
        <v>520316</v>
      </c>
      <c r="L40" s="96">
        <v>250809.00579000378</v>
      </c>
      <c r="M40" s="27">
        <v>34</v>
      </c>
      <c r="N40" s="26"/>
      <c r="O40" s="26">
        <f t="shared" si="11"/>
        <v>250809.00579000378</v>
      </c>
      <c r="P40" s="26"/>
      <c r="Q40" s="26">
        <f t="shared" si="3"/>
        <v>0</v>
      </c>
      <c r="R40" s="3">
        <v>520333</v>
      </c>
      <c r="S40" s="25">
        <f t="shared" si="8"/>
        <v>323296.272</v>
      </c>
      <c r="T40" s="25">
        <f t="shared" si="9"/>
        <v>0</v>
      </c>
      <c r="U40" s="59">
        <f>T40+S40</f>
        <v>323296.272</v>
      </c>
      <c r="X40" s="95">
        <v>347630.4</v>
      </c>
      <c r="Y40" s="95">
        <v>17264.212999996962</v>
      </c>
      <c r="Z40" s="95">
        <v>0</v>
      </c>
    </row>
    <row r="41" spans="1:34" ht="14.45" customHeight="1" x14ac:dyDescent="0.25">
      <c r="A41" s="3">
        <v>530355</v>
      </c>
      <c r="B41" s="1" t="s">
        <v>162</v>
      </c>
      <c r="C41" s="32" t="s">
        <v>9</v>
      </c>
      <c r="D41" s="31">
        <v>43.18</v>
      </c>
      <c r="E41" s="24">
        <v>19660</v>
      </c>
      <c r="F41" s="29">
        <f t="shared" si="0"/>
        <v>848918.8</v>
      </c>
      <c r="G41" s="29">
        <f t="shared" si="6"/>
        <v>642325.98183099425</v>
      </c>
      <c r="H41" s="24">
        <v>432469</v>
      </c>
      <c r="I41" s="30">
        <f t="shared" si="1"/>
        <v>474720.19499998685</v>
      </c>
      <c r="J41" s="28">
        <f t="shared" si="2"/>
        <v>1.4160794360673654</v>
      </c>
      <c r="K41" s="7">
        <v>520333</v>
      </c>
      <c r="L41" s="96">
        <v>323296.272</v>
      </c>
      <c r="M41" s="27">
        <v>35</v>
      </c>
      <c r="N41" s="26"/>
      <c r="O41" s="26">
        <f>+L41</f>
        <v>323296.272</v>
      </c>
      <c r="P41" s="26"/>
      <c r="Q41" s="26">
        <f t="shared" si="3"/>
        <v>0</v>
      </c>
      <c r="R41" s="3">
        <v>530355</v>
      </c>
      <c r="S41" s="25">
        <f t="shared" si="8"/>
        <v>402196.17</v>
      </c>
      <c r="T41" s="25">
        <f t="shared" si="9"/>
        <v>0</v>
      </c>
      <c r="U41" s="59">
        <f t="shared" si="10"/>
        <v>402196.17</v>
      </c>
      <c r="X41" s="95">
        <v>432469</v>
      </c>
      <c r="Y41" s="95">
        <v>42251.194999986852</v>
      </c>
      <c r="Z41" s="95">
        <v>0</v>
      </c>
    </row>
    <row r="42" spans="1:34" ht="14.45" customHeight="1" x14ac:dyDescent="0.25">
      <c r="A42" s="3">
        <v>530359</v>
      </c>
      <c r="B42" s="1" t="s">
        <v>163</v>
      </c>
      <c r="C42" s="32" t="s">
        <v>7</v>
      </c>
      <c r="D42" s="31">
        <v>35.68</v>
      </c>
      <c r="E42" s="24">
        <v>15882</v>
      </c>
      <c r="F42" s="29">
        <f t="shared" si="0"/>
        <v>566669.76</v>
      </c>
      <c r="G42" s="29">
        <f t="shared" si="6"/>
        <v>428765.04792441142</v>
      </c>
      <c r="H42" s="24">
        <v>231698.08399999441</v>
      </c>
      <c r="I42" s="30">
        <f t="shared" si="1"/>
        <v>238849.605999992</v>
      </c>
      <c r="J42" s="28">
        <f t="shared" si="2"/>
        <v>1.8224084701145755</v>
      </c>
      <c r="K42" s="7">
        <v>530355</v>
      </c>
      <c r="L42" s="96">
        <v>402196.17</v>
      </c>
      <c r="M42" s="27">
        <v>36</v>
      </c>
      <c r="N42" s="26"/>
      <c r="O42" s="26">
        <f t="shared" ref="O42:O45" si="12">+L42</f>
        <v>402196.17</v>
      </c>
      <c r="P42" s="26"/>
      <c r="Q42" s="26">
        <f t="shared" si="3"/>
        <v>0</v>
      </c>
      <c r="R42" s="3">
        <v>530359</v>
      </c>
      <c r="S42" s="25">
        <f t="shared" si="8"/>
        <v>215479.2181199948</v>
      </c>
      <c r="T42" s="25">
        <f t="shared" si="9"/>
        <v>0</v>
      </c>
      <c r="U42" s="59">
        <f t="shared" si="10"/>
        <v>215479.2181199948</v>
      </c>
      <c r="X42" s="95">
        <v>231698.08399999441</v>
      </c>
      <c r="Y42" s="95">
        <v>7151.5219999975816</v>
      </c>
      <c r="Z42" s="95">
        <v>0</v>
      </c>
    </row>
    <row r="43" spans="1:34" ht="14.45" customHeight="1" x14ac:dyDescent="0.25">
      <c r="A43" s="3">
        <v>530365</v>
      </c>
      <c r="B43" s="1" t="s">
        <v>164</v>
      </c>
      <c r="C43" s="32" t="s">
        <v>7</v>
      </c>
      <c r="D43" s="31">
        <v>35.68</v>
      </c>
      <c r="E43" s="24">
        <v>12298</v>
      </c>
      <c r="F43" s="29">
        <f t="shared" si="0"/>
        <v>438792.64</v>
      </c>
      <c r="G43" s="29">
        <f t="shared" si="6"/>
        <v>332008.094659011</v>
      </c>
      <c r="H43" s="24">
        <v>240949.5</v>
      </c>
      <c r="I43" s="30">
        <f t="shared" si="1"/>
        <v>224693.0489999979</v>
      </c>
      <c r="J43" s="28">
        <f t="shared" si="2"/>
        <v>1.4260212919632158</v>
      </c>
      <c r="K43" s="7">
        <v>530359</v>
      </c>
      <c r="L43" s="96">
        <v>215479.2181199948</v>
      </c>
      <c r="M43" s="27">
        <v>37</v>
      </c>
      <c r="N43" s="26"/>
      <c r="O43" s="26">
        <f t="shared" si="12"/>
        <v>215479.2181199948</v>
      </c>
      <c r="P43" s="26"/>
      <c r="Q43" s="26">
        <f t="shared" si="3"/>
        <v>0</v>
      </c>
      <c r="R43" s="3">
        <v>530365</v>
      </c>
      <c r="S43" s="25">
        <f t="shared" si="8"/>
        <v>224083.03499999997</v>
      </c>
      <c r="T43" s="25">
        <f t="shared" si="9"/>
        <v>0</v>
      </c>
      <c r="U43" s="59">
        <f t="shared" si="10"/>
        <v>224083.03499999997</v>
      </c>
      <c r="X43" s="95">
        <v>224693.0489999979</v>
      </c>
      <c r="Y43" s="95">
        <v>0</v>
      </c>
      <c r="Z43" s="95">
        <v>0</v>
      </c>
    </row>
    <row r="44" spans="1:34" ht="14.45" customHeight="1" x14ac:dyDescent="0.25">
      <c r="A44" s="3">
        <v>530396</v>
      </c>
      <c r="B44" s="1" t="s">
        <v>165</v>
      </c>
      <c r="C44" s="32" t="s">
        <v>9</v>
      </c>
      <c r="D44" s="31">
        <v>43.18</v>
      </c>
      <c r="E44" s="24">
        <v>17860</v>
      </c>
      <c r="F44" s="29">
        <f t="shared" si="0"/>
        <v>771194.8</v>
      </c>
      <c r="G44" s="29">
        <f t="shared" si="6"/>
        <v>583516.88888614229</v>
      </c>
      <c r="H44" s="24">
        <v>412206.8559999853</v>
      </c>
      <c r="I44" s="30">
        <f t="shared" si="1"/>
        <v>404671.86400000763</v>
      </c>
      <c r="J44" s="28">
        <f t="shared" si="2"/>
        <v>1.4286499931988614</v>
      </c>
      <c r="K44" s="7">
        <v>530365</v>
      </c>
      <c r="L44" s="96">
        <v>224083.03499999997</v>
      </c>
      <c r="M44" s="27">
        <v>38</v>
      </c>
      <c r="N44" s="26"/>
      <c r="O44" s="26">
        <f>+L44</f>
        <v>224083.03499999997</v>
      </c>
      <c r="P44" s="26"/>
      <c r="Q44" s="26">
        <f t="shared" si="3"/>
        <v>0</v>
      </c>
      <c r="R44" s="3">
        <v>530396</v>
      </c>
      <c r="S44" s="25">
        <f t="shared" si="8"/>
        <v>383352.37607998628</v>
      </c>
      <c r="T44" s="25">
        <f t="shared" si="9"/>
        <v>0</v>
      </c>
      <c r="U44" s="59">
        <f t="shared" si="10"/>
        <v>383352.37607998628</v>
      </c>
      <c r="X44" s="95">
        <v>404671.86400000763</v>
      </c>
      <c r="Y44" s="95">
        <v>0</v>
      </c>
      <c r="Z44" s="95">
        <v>0</v>
      </c>
    </row>
    <row r="45" spans="1:34" ht="14.45" customHeight="1" x14ac:dyDescent="0.25">
      <c r="A45" s="3">
        <v>530439</v>
      </c>
      <c r="B45" s="1" t="s">
        <v>125</v>
      </c>
      <c r="C45" s="32" t="s">
        <v>9</v>
      </c>
      <c r="D45" s="31">
        <v>43.18</v>
      </c>
      <c r="E45" s="24">
        <v>17868</v>
      </c>
      <c r="F45" s="29">
        <f t="shared" si="0"/>
        <v>771540.24</v>
      </c>
      <c r="G45" s="29">
        <f t="shared" si="6"/>
        <v>583778.26263256383</v>
      </c>
      <c r="H45" s="24">
        <v>382815.06099999242</v>
      </c>
      <c r="I45" s="30">
        <f t="shared" si="1"/>
        <v>379478.41499999899</v>
      </c>
      <c r="J45" s="28">
        <f t="shared" si="2"/>
        <v>1.5316365179873856</v>
      </c>
      <c r="K45" s="7">
        <v>530396</v>
      </c>
      <c r="L45" s="96">
        <v>383352.37607998628</v>
      </c>
      <c r="M45" s="27">
        <v>39</v>
      </c>
      <c r="N45" s="26"/>
      <c r="O45" s="26">
        <f t="shared" si="12"/>
        <v>383352.37607998628</v>
      </c>
      <c r="P45" s="26"/>
      <c r="Q45" s="26">
        <f t="shared" si="3"/>
        <v>0</v>
      </c>
      <c r="R45" s="3">
        <v>530439</v>
      </c>
      <c r="S45" s="25">
        <f t="shared" si="8"/>
        <v>356018.00672999292</v>
      </c>
      <c r="T45" s="25">
        <f t="shared" si="9"/>
        <v>0</v>
      </c>
      <c r="U45" s="59">
        <f t="shared" si="10"/>
        <v>356018.00672999292</v>
      </c>
      <c r="X45" s="95">
        <v>379478.41499999899</v>
      </c>
      <c r="Y45" s="95">
        <v>0</v>
      </c>
      <c r="Z45" s="95">
        <v>0</v>
      </c>
    </row>
    <row r="46" spans="1:34" ht="14.45" customHeight="1" x14ac:dyDescent="0.25">
      <c r="A46" s="3">
        <v>530444</v>
      </c>
      <c r="B46" s="1" t="s">
        <v>166</v>
      </c>
      <c r="C46" s="32" t="s">
        <v>6</v>
      </c>
      <c r="D46" s="31">
        <v>76.17</v>
      </c>
      <c r="E46" s="24">
        <v>88774</v>
      </c>
      <c r="F46" s="29">
        <f t="shared" si="0"/>
        <v>6761915.5800000001</v>
      </c>
      <c r="G46" s="29">
        <f t="shared" si="6"/>
        <v>5116336.2903281171</v>
      </c>
      <c r="H46" s="24">
        <v>6723416</v>
      </c>
      <c r="I46" s="30">
        <f t="shared" si="1"/>
        <v>6648085.520999562</v>
      </c>
      <c r="J46" s="28">
        <f t="shared" si="2"/>
        <v>0.76525980007451766</v>
      </c>
      <c r="K46" s="7">
        <v>530439</v>
      </c>
      <c r="L46" s="96">
        <v>356018.00672999292</v>
      </c>
      <c r="M46" s="27">
        <v>40</v>
      </c>
      <c r="N46" s="26"/>
      <c r="O46" s="26">
        <f>+L46</f>
        <v>356018.00672999292</v>
      </c>
      <c r="P46" s="26"/>
      <c r="Q46" s="26">
        <f t="shared" si="3"/>
        <v>0</v>
      </c>
      <c r="R46" s="3">
        <v>530444</v>
      </c>
      <c r="S46" s="25">
        <f t="shared" si="8"/>
        <v>6454479.3599999994</v>
      </c>
      <c r="T46" s="25">
        <f t="shared" si="9"/>
        <v>-119464.52839999998</v>
      </c>
      <c r="U46" s="59">
        <f t="shared" si="10"/>
        <v>6335014.8315999992</v>
      </c>
      <c r="X46" s="95">
        <v>6648085.520999562</v>
      </c>
      <c r="Y46" s="95">
        <v>0</v>
      </c>
      <c r="Z46" s="95">
        <v>0</v>
      </c>
    </row>
    <row r="47" spans="1:34" ht="14.45" customHeight="1" x14ac:dyDescent="0.25">
      <c r="A47" s="3" t="s">
        <v>126</v>
      </c>
      <c r="B47" s="1" t="s">
        <v>167</v>
      </c>
      <c r="C47" s="32" t="s">
        <v>6</v>
      </c>
      <c r="D47" s="31">
        <v>76.17</v>
      </c>
      <c r="E47" s="24">
        <v>21437</v>
      </c>
      <c r="F47" s="29">
        <f t="shared" si="0"/>
        <v>1632856.29</v>
      </c>
      <c r="G47" s="29">
        <f t="shared" si="6"/>
        <v>1235484.5005943615</v>
      </c>
      <c r="H47" s="24">
        <v>1143948.6200000092</v>
      </c>
      <c r="I47" s="30">
        <f t="shared" si="1"/>
        <v>1119062.5946928894</v>
      </c>
      <c r="J47" s="28">
        <f t="shared" si="2"/>
        <v>1.0918942801280132</v>
      </c>
      <c r="K47" s="7">
        <v>530444</v>
      </c>
      <c r="L47" s="96">
        <v>6454479.3599999994</v>
      </c>
      <c r="M47" s="27">
        <v>41</v>
      </c>
      <c r="N47" s="26"/>
      <c r="O47" s="26">
        <v>481252.94</v>
      </c>
      <c r="P47" s="26">
        <f>+L47-O47</f>
        <v>5973226.419999999</v>
      </c>
      <c r="Q47" s="26">
        <f t="shared" si="3"/>
        <v>-119464.52839999998</v>
      </c>
      <c r="R47" s="3" t="s">
        <v>126</v>
      </c>
      <c r="S47" s="25">
        <f t="shared" si="8"/>
        <v>1098190.6752000088</v>
      </c>
      <c r="T47" s="25">
        <f t="shared" si="9"/>
        <v>-21963.813504000176</v>
      </c>
      <c r="U47" s="59">
        <f t="shared" si="10"/>
        <v>1076226.8616960086</v>
      </c>
      <c r="X47" s="95">
        <v>1119062.5946928894</v>
      </c>
      <c r="Y47" s="95">
        <v>0</v>
      </c>
      <c r="Z47" s="95">
        <v>0</v>
      </c>
    </row>
    <row r="48" spans="1:34" ht="14.45" customHeight="1" x14ac:dyDescent="0.25">
      <c r="A48" s="3" t="s">
        <v>128</v>
      </c>
      <c r="B48" s="1" t="s">
        <v>168</v>
      </c>
      <c r="C48" s="32" t="s">
        <v>9</v>
      </c>
      <c r="D48" s="31">
        <v>43.18</v>
      </c>
      <c r="E48" s="24">
        <v>8758</v>
      </c>
      <c r="F48" s="29">
        <f t="shared" si="0"/>
        <v>378170.44</v>
      </c>
      <c r="G48" s="29">
        <f t="shared" si="6"/>
        <v>286138.90889500751</v>
      </c>
      <c r="H48" s="24">
        <v>395244</v>
      </c>
      <c r="I48" s="30">
        <f t="shared" si="1"/>
        <v>334002.04986556846</v>
      </c>
      <c r="J48" s="28">
        <f t="shared" si="2"/>
        <v>0.78475271534965529</v>
      </c>
      <c r="K48" s="7" t="s">
        <v>126</v>
      </c>
      <c r="L48" s="96">
        <v>1098190.6752000088</v>
      </c>
      <c r="M48" s="27">
        <v>42</v>
      </c>
      <c r="N48" s="26"/>
      <c r="O48" s="26"/>
      <c r="P48" s="26">
        <f>+L48</f>
        <v>1098190.6752000088</v>
      </c>
      <c r="Q48" s="26">
        <f t="shared" si="3"/>
        <v>-21963.813504000176</v>
      </c>
      <c r="R48" s="3" t="s">
        <v>128</v>
      </c>
      <c r="S48" s="25">
        <f t="shared" si="8"/>
        <v>367576.92</v>
      </c>
      <c r="T48" s="25">
        <f t="shared" si="9"/>
        <v>-7351.5383999999995</v>
      </c>
      <c r="U48" s="59">
        <f t="shared" si="10"/>
        <v>360225.38159999996</v>
      </c>
      <c r="X48" s="95">
        <v>334002.04986556846</v>
      </c>
      <c r="Y48" s="95">
        <v>0</v>
      </c>
      <c r="Z48" s="95">
        <v>0</v>
      </c>
    </row>
    <row r="49" spans="1:33" ht="14.45" customHeight="1" x14ac:dyDescent="0.25">
      <c r="A49" s="3" t="s">
        <v>130</v>
      </c>
      <c r="B49" s="1" t="s">
        <v>169</v>
      </c>
      <c r="C49" s="32" t="s">
        <v>9</v>
      </c>
      <c r="D49" s="31">
        <v>43.18</v>
      </c>
      <c r="E49" s="24">
        <v>13079</v>
      </c>
      <c r="F49" s="29">
        <f t="shared" si="0"/>
        <v>564751.22</v>
      </c>
      <c r="G49" s="29">
        <f t="shared" si="6"/>
        <v>427313.40368095489</v>
      </c>
      <c r="H49" s="24">
        <v>440034.69199999055</v>
      </c>
      <c r="I49" s="30">
        <f t="shared" si="1"/>
        <v>446669.00599998393</v>
      </c>
      <c r="J49" s="28">
        <f t="shared" si="2"/>
        <v>0.96382456652609383</v>
      </c>
      <c r="K49" s="7" t="s">
        <v>128</v>
      </c>
      <c r="L49" s="96">
        <v>367576.92</v>
      </c>
      <c r="M49" s="27">
        <v>43</v>
      </c>
      <c r="N49" s="26"/>
      <c r="O49" s="26"/>
      <c r="P49" s="26">
        <f t="shared" ref="P49:P53" si="13">+L49</f>
        <v>367576.92</v>
      </c>
      <c r="Q49" s="26">
        <f t="shared" si="3"/>
        <v>-7351.5383999999995</v>
      </c>
      <c r="R49" s="3" t="s">
        <v>130</v>
      </c>
      <c r="S49" s="25">
        <f t="shared" si="8"/>
        <v>409232.2635599912</v>
      </c>
      <c r="T49" s="25">
        <f t="shared" si="9"/>
        <v>-8184.6452711998245</v>
      </c>
      <c r="U49" s="59">
        <f t="shared" si="10"/>
        <v>401047.61828879139</v>
      </c>
      <c r="X49" s="95">
        <v>440034.69199999055</v>
      </c>
      <c r="Y49" s="95">
        <v>6634.3139999933774</v>
      </c>
      <c r="Z49" s="95">
        <v>0</v>
      </c>
    </row>
    <row r="50" spans="1:33" ht="14.45" customHeight="1" x14ac:dyDescent="0.25">
      <c r="A50" s="3" t="s">
        <v>131</v>
      </c>
      <c r="B50" s="1" t="s">
        <v>132</v>
      </c>
      <c r="C50" s="32" t="s">
        <v>9</v>
      </c>
      <c r="D50" s="31">
        <v>43.18</v>
      </c>
      <c r="E50" s="24">
        <v>51434</v>
      </c>
      <c r="F50" s="29">
        <f t="shared" si="0"/>
        <v>2220920.12</v>
      </c>
      <c r="G50" s="29">
        <f t="shared" si="6"/>
        <v>1680437.1591808423</v>
      </c>
      <c r="H50" s="24">
        <v>839466.54700003203</v>
      </c>
      <c r="I50" s="30">
        <f t="shared" si="1"/>
        <v>886051.54500007629</v>
      </c>
      <c r="J50" s="28">
        <f t="shared" si="2"/>
        <v>1.9477479453524467</v>
      </c>
      <c r="K50" s="7" t="s">
        <v>130</v>
      </c>
      <c r="L50" s="96">
        <v>409232.2635599912</v>
      </c>
      <c r="M50" s="27">
        <v>44</v>
      </c>
      <c r="N50" s="26"/>
      <c r="O50" s="26"/>
      <c r="P50" s="26">
        <f t="shared" si="13"/>
        <v>409232.2635599912</v>
      </c>
      <c r="Q50" s="26">
        <f t="shared" si="3"/>
        <v>-8184.6452711998245</v>
      </c>
      <c r="R50" s="3" t="s">
        <v>131</v>
      </c>
      <c r="S50" s="25">
        <f t="shared" si="8"/>
        <v>780703.88871002977</v>
      </c>
      <c r="T50" s="25">
        <f t="shared" si="9"/>
        <v>-15614.077774200596</v>
      </c>
      <c r="U50" s="59">
        <f t="shared" si="10"/>
        <v>765089.81093582918</v>
      </c>
      <c r="X50" s="95">
        <v>839466.54700003203</v>
      </c>
      <c r="Y50" s="95">
        <v>46584.998000044259</v>
      </c>
      <c r="Z50" s="95">
        <v>0</v>
      </c>
    </row>
    <row r="51" spans="1:33" ht="14.45" customHeight="1" x14ac:dyDescent="0.25">
      <c r="A51" s="7" t="s">
        <v>135</v>
      </c>
      <c r="B51" s="34" t="s">
        <v>136</v>
      </c>
      <c r="C51" s="32" t="s">
        <v>7</v>
      </c>
      <c r="D51" s="31">
        <v>35.68</v>
      </c>
      <c r="E51" s="24">
        <v>26985</v>
      </c>
      <c r="F51" s="29">
        <f t="shared" si="0"/>
        <v>962824.8</v>
      </c>
      <c r="G51" s="29">
        <f t="shared" si="6"/>
        <v>728511.825855701</v>
      </c>
      <c r="H51" s="24">
        <v>103032</v>
      </c>
      <c r="I51" s="30">
        <f t="shared" si="1"/>
        <v>9642.9010000000071</v>
      </c>
      <c r="J51" s="28">
        <f t="shared" si="2"/>
        <v>12.931217500793737</v>
      </c>
      <c r="K51" s="7" t="s">
        <v>131</v>
      </c>
      <c r="L51" s="96">
        <v>780703.88871002977</v>
      </c>
      <c r="M51" s="27">
        <v>45</v>
      </c>
      <c r="N51" s="26"/>
      <c r="O51" s="26"/>
      <c r="P51" s="26">
        <f t="shared" si="13"/>
        <v>780703.88871002977</v>
      </c>
      <c r="Q51" s="26">
        <f t="shared" si="3"/>
        <v>-15614.077774200596</v>
      </c>
      <c r="R51" s="7" t="s">
        <v>135</v>
      </c>
      <c r="S51" s="25">
        <f t="shared" si="8"/>
        <v>95819.76</v>
      </c>
      <c r="T51" s="25">
        <f t="shared" si="9"/>
        <v>-1916.3951999999999</v>
      </c>
      <c r="U51" s="59">
        <f t="shared" si="10"/>
        <v>93903.364799999996</v>
      </c>
      <c r="X51" s="95">
        <v>9642.9010000000071</v>
      </c>
      <c r="Y51" s="95">
        <v>0</v>
      </c>
      <c r="Z51" s="95">
        <v>0</v>
      </c>
    </row>
    <row r="52" spans="1:33" ht="14.45" customHeight="1" x14ac:dyDescent="0.25">
      <c r="A52" s="7" t="s">
        <v>133</v>
      </c>
      <c r="B52" s="94" t="s">
        <v>170</v>
      </c>
      <c r="C52" s="32" t="s">
        <v>7</v>
      </c>
      <c r="D52" s="31">
        <v>35.68</v>
      </c>
      <c r="E52" s="24">
        <v>12234</v>
      </c>
      <c r="F52" s="29">
        <f t="shared" si="0"/>
        <v>436509.12</v>
      </c>
      <c r="G52" s="29">
        <f t="shared" si="6"/>
        <v>330280.29192212876</v>
      </c>
      <c r="H52" s="24">
        <v>103032</v>
      </c>
      <c r="I52" s="30">
        <f t="shared" si="1"/>
        <v>54576.042999999823</v>
      </c>
      <c r="J52" s="28">
        <f t="shared" si="2"/>
        <v>4.1911603701865534</v>
      </c>
      <c r="K52" s="7" t="s">
        <v>135</v>
      </c>
      <c r="L52" s="96">
        <v>95819.76</v>
      </c>
      <c r="M52" s="27">
        <v>46</v>
      </c>
      <c r="N52" s="26"/>
      <c r="O52" s="26"/>
      <c r="P52" s="26">
        <f t="shared" si="13"/>
        <v>95819.76</v>
      </c>
      <c r="Q52" s="26">
        <f t="shared" si="3"/>
        <v>-1916.3951999999999</v>
      </c>
      <c r="R52" s="7" t="s">
        <v>133</v>
      </c>
      <c r="S52" s="25">
        <f t="shared" si="8"/>
        <v>95819.76</v>
      </c>
      <c r="T52" s="25">
        <f t="shared" si="9"/>
        <v>-1916.3951999999999</v>
      </c>
      <c r="U52" s="59">
        <f t="shared" si="10"/>
        <v>93903.364799999996</v>
      </c>
      <c r="X52" s="95">
        <v>54576.042999999823</v>
      </c>
      <c r="Y52" s="95">
        <v>0</v>
      </c>
      <c r="Z52" s="95">
        <v>0</v>
      </c>
    </row>
    <row r="53" spans="1:33" ht="14.45" customHeight="1" x14ac:dyDescent="0.25">
      <c r="A53" s="9" t="s">
        <v>137</v>
      </c>
      <c r="B53" s="33" t="s">
        <v>138</v>
      </c>
      <c r="C53" s="32" t="s">
        <v>7</v>
      </c>
      <c r="D53" s="31">
        <v>35.68</v>
      </c>
      <c r="E53" s="24">
        <v>0</v>
      </c>
      <c r="F53" s="29">
        <f t="shared" si="0"/>
        <v>0</v>
      </c>
      <c r="G53" s="29">
        <f t="shared" si="6"/>
        <v>0</v>
      </c>
      <c r="H53" s="24">
        <v>34344</v>
      </c>
      <c r="I53" s="30">
        <f t="shared" si="1"/>
        <v>0</v>
      </c>
      <c r="J53" s="28">
        <f t="shared" si="2"/>
        <v>0</v>
      </c>
      <c r="K53" s="7" t="s">
        <v>133</v>
      </c>
      <c r="L53" s="96">
        <v>95819.76</v>
      </c>
      <c r="M53" s="27">
        <v>47</v>
      </c>
      <c r="N53" s="26"/>
      <c r="O53" s="26"/>
      <c r="P53" s="26">
        <f t="shared" si="13"/>
        <v>95819.76</v>
      </c>
      <c r="Q53" s="26">
        <f t="shared" si="3"/>
        <v>-1916.3951999999999</v>
      </c>
      <c r="R53" s="9" t="s">
        <v>137</v>
      </c>
      <c r="S53" s="25">
        <f t="shared" si="8"/>
        <v>103032</v>
      </c>
      <c r="T53" s="25">
        <f t="shared" si="9"/>
        <v>0</v>
      </c>
      <c r="U53" s="59">
        <f t="shared" si="10"/>
        <v>103032</v>
      </c>
      <c r="X53" s="95">
        <v>0</v>
      </c>
      <c r="Y53" s="95">
        <v>0</v>
      </c>
      <c r="Z53" s="95">
        <v>0</v>
      </c>
    </row>
    <row r="54" spans="1:33" ht="14.45" customHeight="1" x14ac:dyDescent="0.25">
      <c r="B54" s="23" t="s">
        <v>5</v>
      </c>
      <c r="D54" s="22"/>
      <c r="E54" s="24">
        <f>SUM(E6:E53)</f>
        <v>1014196</v>
      </c>
      <c r="F54" s="18">
        <f>SUM(F6:F39)</f>
        <v>34972650.880000003</v>
      </c>
      <c r="G54" s="18">
        <v>26461709.074800305</v>
      </c>
      <c r="H54" s="18">
        <f>SUM(H6:H53)</f>
        <v>27902199.024000321</v>
      </c>
      <c r="I54" s="21">
        <f>SUM(I6:I53)</f>
        <v>28216037.785965815</v>
      </c>
      <c r="J54" s="55">
        <f>SUM(J6:J53)</f>
        <v>140.77849022459407</v>
      </c>
      <c r="K54" s="20"/>
      <c r="L54" s="20">
        <f>SUM(L6:L53)</f>
        <v>26461709.074800305</v>
      </c>
      <c r="M54" s="20"/>
      <c r="N54" s="20">
        <f>SUM(N6:N53)</f>
        <v>8820569.6915700957</v>
      </c>
      <c r="O54" s="20">
        <f>SUM(O24:O53)</f>
        <v>8820569.6957601812</v>
      </c>
      <c r="P54" s="20">
        <f>SUM(P47:P53)</f>
        <v>8820569.6874700282</v>
      </c>
      <c r="Q54" s="20">
        <f>SUM(Q6:Q39)</f>
        <v>176411.39383140192</v>
      </c>
      <c r="R54" s="19"/>
      <c r="S54" s="19">
        <f>SUM(S6:S53)</f>
        <v>26461709.074800305</v>
      </c>
      <c r="T54" s="19">
        <f>SUM(T6:T53)</f>
        <v>8.2001339251291938E-5</v>
      </c>
      <c r="U54" s="19">
        <f>SUM(U6:U53)</f>
        <v>26461709.074882306</v>
      </c>
      <c r="X54" s="93">
        <f t="shared" ref="X54:Z54" si="14">SUM(X6:X53)</f>
        <v>27363195.51769001</v>
      </c>
      <c r="Y54" s="93">
        <f t="shared" si="14"/>
        <v>719573.98710128712</v>
      </c>
      <c r="Z54" s="93">
        <f t="shared" si="14"/>
        <v>133268.28117451695</v>
      </c>
      <c r="AG54" s="1">
        <f>SUM(AG6:AG39)</f>
        <v>32368439.82</v>
      </c>
    </row>
    <row r="55" spans="1:33" ht="16.899999999999999" customHeight="1" x14ac:dyDescent="0.25">
      <c r="A55" s="79" t="s">
        <v>82</v>
      </c>
      <c r="K55" s="17" t="s">
        <v>4</v>
      </c>
      <c r="L55" s="16">
        <f>L54/3</f>
        <v>8820569.6916001011</v>
      </c>
      <c r="M55" s="15"/>
      <c r="N55" s="92">
        <f>$L55-N54</f>
        <v>3.0005350708961487E-5</v>
      </c>
      <c r="O55" s="92">
        <f>$L55-O54</f>
        <v>-4.1600801050662994E-3</v>
      </c>
      <c r="P55" s="14">
        <f>$L55-P54</f>
        <v>4.1300728917121887E-3</v>
      </c>
    </row>
    <row r="56" spans="1:33" x14ac:dyDescent="0.25">
      <c r="A56" s="79" t="s">
        <v>81</v>
      </c>
    </row>
    <row r="57" spans="1:33" ht="18.75" x14ac:dyDescent="0.3">
      <c r="E57" s="13"/>
      <c r="K57" s="138" t="s">
        <v>45</v>
      </c>
      <c r="L57" s="138"/>
      <c r="M57" s="138"/>
      <c r="N57" s="138"/>
    </row>
    <row r="58" spans="1:33" ht="41.45" customHeight="1" x14ac:dyDescent="0.25">
      <c r="K58" s="12" t="s">
        <v>43</v>
      </c>
      <c r="L58" s="10" t="s">
        <v>2</v>
      </c>
      <c r="M58" s="11" t="s">
        <v>1</v>
      </c>
      <c r="N58" s="10" t="s">
        <v>0</v>
      </c>
    </row>
    <row r="59" spans="1:33" x14ac:dyDescent="0.25">
      <c r="I59" s="98"/>
      <c r="K59" s="28">
        <v>11.032778249752617</v>
      </c>
      <c r="L59" s="3">
        <v>440009</v>
      </c>
      <c r="M59" s="96">
        <f>+VLOOKUP(L59,'[2]2.5 RAD'!$A:$E,5,0)</f>
        <v>54028.35</v>
      </c>
      <c r="N59" s="97">
        <v>1</v>
      </c>
      <c r="P59" s="34"/>
      <c r="Q59" s="34"/>
    </row>
    <row r="60" spans="1:33" x14ac:dyDescent="0.25">
      <c r="I60" s="98"/>
      <c r="K60" s="28">
        <v>6.5222385935040368</v>
      </c>
      <c r="L60" s="3">
        <v>440011</v>
      </c>
      <c r="M60" s="96">
        <f>+VLOOKUP(L60,'[2]2.5 RAD'!$A:$E,5,0)</f>
        <v>84056.189999999988</v>
      </c>
      <c r="N60" s="97">
        <v>2</v>
      </c>
      <c r="P60" s="34"/>
      <c r="Q60" s="34"/>
    </row>
    <row r="61" spans="1:33" x14ac:dyDescent="0.25">
      <c r="I61" s="98"/>
      <c r="K61" s="28">
        <v>1.2032392054483341</v>
      </c>
      <c r="L61" s="3">
        <v>440018</v>
      </c>
      <c r="M61" s="96">
        <f>+VLOOKUP(L61,'[2]2.5 RAD'!$A:$E,5,0)</f>
        <v>659943.5477400407</v>
      </c>
      <c r="N61" s="97">
        <v>3</v>
      </c>
      <c r="P61" s="34"/>
      <c r="Q61" s="34"/>
    </row>
    <row r="62" spans="1:33" x14ac:dyDescent="0.25">
      <c r="I62" s="98"/>
      <c r="K62" s="28">
        <v>11.599201921907042</v>
      </c>
      <c r="L62" s="3">
        <v>440073</v>
      </c>
      <c r="M62" s="96">
        <f>+VLOOKUP(L62,'[2]2.5 RAD'!$A:$E,5,0)</f>
        <v>37079.976990000097</v>
      </c>
      <c r="N62" s="97">
        <v>4</v>
      </c>
      <c r="P62" s="34"/>
      <c r="Q62" s="34"/>
    </row>
    <row r="63" spans="1:33" x14ac:dyDescent="0.25">
      <c r="I63" s="98"/>
      <c r="K63" s="28">
        <v>0.90156152326179484</v>
      </c>
      <c r="L63" s="3">
        <v>440075</v>
      </c>
      <c r="M63" s="96">
        <f>+VLOOKUP(L63,'[2]2.5 RAD'!$A:$E,5,0)</f>
        <v>1134257.8297501102</v>
      </c>
      <c r="N63" s="97">
        <v>5</v>
      </c>
      <c r="P63" s="34"/>
      <c r="Q63" s="34"/>
    </row>
    <row r="64" spans="1:33" x14ac:dyDescent="0.25">
      <c r="I64" s="99"/>
      <c r="K64" s="28">
        <v>2.1961131477344877</v>
      </c>
      <c r="L64" s="7">
        <v>440076</v>
      </c>
      <c r="M64" s="96">
        <f>+VLOOKUP(L64,'[2]2.5 RAD'!$A:$E,5,0)</f>
        <v>352784.70528000116</v>
      </c>
      <c r="N64" s="97">
        <v>6</v>
      </c>
      <c r="P64" s="34"/>
      <c r="Q64" s="34"/>
    </row>
    <row r="65" spans="9:17" x14ac:dyDescent="0.25">
      <c r="I65" s="98"/>
      <c r="K65" s="28">
        <v>0.8713580800676054</v>
      </c>
      <c r="L65" s="3">
        <v>440079</v>
      </c>
      <c r="M65" s="96">
        <f>+VLOOKUP(L65,'[2]2.5 RAD'!$A:$E,5,0)</f>
        <v>191530.15013999806</v>
      </c>
      <c r="N65" s="97">
        <v>7</v>
      </c>
      <c r="P65" s="34"/>
      <c r="Q65" s="34"/>
    </row>
    <row r="66" spans="9:17" x14ac:dyDescent="0.25">
      <c r="I66" s="98"/>
      <c r="K66" s="28">
        <v>1.2971694281496</v>
      </c>
      <c r="L66" s="3">
        <v>450046</v>
      </c>
      <c r="M66" s="96">
        <f>+VLOOKUP(L66,'[2]2.5 RAD'!$A:$E,5,0)</f>
        <v>163048.38491999832</v>
      </c>
      <c r="N66" s="97">
        <v>8</v>
      </c>
      <c r="P66" s="34"/>
      <c r="Q66" s="34"/>
    </row>
    <row r="67" spans="9:17" x14ac:dyDescent="0.25">
      <c r="I67" s="98"/>
      <c r="K67" s="28">
        <v>1.3230721811507771</v>
      </c>
      <c r="L67" s="3">
        <v>450069</v>
      </c>
      <c r="M67" s="96">
        <f>+VLOOKUP(L67,'[2]2.5 RAD'!$A:$E,5,0)</f>
        <v>283250.09999999998</v>
      </c>
      <c r="N67" s="97">
        <v>9</v>
      </c>
      <c r="P67" s="34"/>
      <c r="Q67" s="34"/>
    </row>
    <row r="68" spans="9:17" x14ac:dyDescent="0.25">
      <c r="I68" s="98"/>
      <c r="K68" s="28">
        <v>4.3675974543650327</v>
      </c>
      <c r="L68" s="3">
        <v>450070</v>
      </c>
      <c r="M68" s="96">
        <f>+VLOOKUP(L68,'[2]2.5 RAD'!$A:$E,5,0)</f>
        <v>89561.79</v>
      </c>
      <c r="N68" s="97">
        <v>10</v>
      </c>
      <c r="P68" s="34"/>
      <c r="Q68" s="34"/>
    </row>
    <row r="69" spans="9:17" x14ac:dyDescent="0.25">
      <c r="I69" s="98"/>
      <c r="K69" s="28">
        <v>1.8575024166253065</v>
      </c>
      <c r="L69" s="3">
        <v>450072</v>
      </c>
      <c r="M69" s="96">
        <f>+VLOOKUP(L69,'[2]2.5 RAD'!$A:$E,5,0)</f>
        <v>713586.28626003221</v>
      </c>
      <c r="N69" s="97">
        <v>11</v>
      </c>
      <c r="P69" s="34"/>
      <c r="Q69" s="34"/>
    </row>
    <row r="70" spans="9:17" x14ac:dyDescent="0.25">
      <c r="I70" s="98"/>
      <c r="K70" s="28">
        <v>1.9241969405563573</v>
      </c>
      <c r="L70" s="3">
        <v>460098</v>
      </c>
      <c r="M70" s="96">
        <f>+VLOOKUP(L70,'[2]2.5 RAD'!$A:$E,5,0)</f>
        <v>254827.92453000098</v>
      </c>
      <c r="N70" s="97">
        <v>12</v>
      </c>
      <c r="P70" s="34"/>
      <c r="Q70" s="34"/>
    </row>
    <row r="71" spans="9:17" x14ac:dyDescent="0.25">
      <c r="I71" s="98"/>
      <c r="K71" s="28">
        <v>1.2255918638532433</v>
      </c>
      <c r="L71" s="3">
        <v>460103</v>
      </c>
      <c r="M71" s="96">
        <f>+VLOOKUP(L71,'[2]2.5 RAD'!$A:$E,5,0)</f>
        <v>332332.76393999514</v>
      </c>
      <c r="N71" s="97">
        <v>13</v>
      </c>
      <c r="P71" s="34"/>
      <c r="Q71" s="34"/>
    </row>
    <row r="72" spans="9:17" x14ac:dyDescent="0.25">
      <c r="I72" s="98"/>
      <c r="K72" s="28">
        <v>1.7277715259490756</v>
      </c>
      <c r="L72" s="3">
        <v>460104</v>
      </c>
      <c r="M72" s="96">
        <f>+VLOOKUP(L72,'[2]2.5 RAD'!$A:$E,5,0)</f>
        <v>707478.36767999514</v>
      </c>
      <c r="N72" s="97">
        <v>14</v>
      </c>
      <c r="P72" s="34"/>
      <c r="Q72" s="34"/>
    </row>
    <row r="73" spans="9:17" x14ac:dyDescent="0.25">
      <c r="I73" s="98"/>
      <c r="K73" s="28">
        <v>1.2887259422863753</v>
      </c>
      <c r="L73" s="3">
        <v>460133</v>
      </c>
      <c r="M73" s="96">
        <f>+VLOOKUP(L73,'[2]2.5 RAD'!$A:$E,5,0)</f>
        <v>2120311.0732799233</v>
      </c>
      <c r="N73" s="97">
        <v>15</v>
      </c>
      <c r="P73" s="34"/>
      <c r="Q73" s="34"/>
    </row>
    <row r="74" spans="9:17" x14ac:dyDescent="0.25">
      <c r="I74" s="98"/>
      <c r="K74" s="28">
        <v>1.3731001546806068</v>
      </c>
      <c r="L74" s="3">
        <v>470125</v>
      </c>
      <c r="M74" s="96">
        <f>+VLOOKUP(L74,'[2]2.5 RAD'!$A:$E,5,0)</f>
        <v>117604.07999999999</v>
      </c>
      <c r="N74" s="97">
        <v>16</v>
      </c>
      <c r="P74" s="34"/>
      <c r="Q74" s="34"/>
    </row>
    <row r="75" spans="9:17" x14ac:dyDescent="0.25">
      <c r="I75" s="98"/>
      <c r="K75" s="28">
        <v>2.3867099483624945</v>
      </c>
      <c r="L75" s="3">
        <v>470141</v>
      </c>
      <c r="M75" s="96">
        <f>+VLOOKUP(L75,'[2]2.5 RAD'!$A:$E,5,0)</f>
        <v>1409717.76</v>
      </c>
      <c r="N75" s="97">
        <v>17</v>
      </c>
      <c r="P75" s="34"/>
      <c r="Q75" s="34"/>
    </row>
    <row r="76" spans="9:17" x14ac:dyDescent="0.25">
      <c r="I76" s="98"/>
      <c r="K76" s="28">
        <v>1.752993761020962</v>
      </c>
      <c r="L76" s="3">
        <v>470145</v>
      </c>
      <c r="M76" s="96">
        <f>+VLOOKUP(L76,'[2]2.5 RAD'!$A:$E,5,0)</f>
        <v>38929.281059999747</v>
      </c>
      <c r="N76" s="97">
        <v>18</v>
      </c>
      <c r="P76" s="34"/>
      <c r="Q76" s="189"/>
    </row>
    <row r="77" spans="9:17" x14ac:dyDescent="0.25">
      <c r="I77" s="98"/>
      <c r="K77" s="28">
        <v>1.0895796383298111</v>
      </c>
      <c r="L77" s="3">
        <v>470182</v>
      </c>
      <c r="M77" s="96">
        <f>+VLOOKUP(L77,'[2]2.5 RAD'!$A:$E,5,0)</f>
        <v>1058860.7999999998</v>
      </c>
      <c r="N77" s="97">
        <v>19</v>
      </c>
      <c r="P77" s="34"/>
      <c r="Q77" s="34"/>
    </row>
    <row r="78" spans="9:17" x14ac:dyDescent="0.25">
      <c r="I78" s="98"/>
      <c r="K78" s="28">
        <v>2.150975161625976</v>
      </c>
      <c r="L78" s="3">
        <v>480181</v>
      </c>
      <c r="M78" s="96">
        <f>+VLOOKUP(L78,'[2]2.5 RAD'!$A:$E,5,0)</f>
        <v>209815.43999999997</v>
      </c>
      <c r="N78" s="97">
        <v>20</v>
      </c>
      <c r="P78" s="34"/>
      <c r="Q78" s="34"/>
    </row>
    <row r="79" spans="9:17" x14ac:dyDescent="0.25">
      <c r="I79" s="98"/>
      <c r="K79" s="28">
        <v>26.674224175568543</v>
      </c>
      <c r="L79" s="3">
        <v>480212</v>
      </c>
      <c r="M79" s="96">
        <f>+VLOOKUP(L79,'[2]2.5 RAD'!$A:$E,5,0)</f>
        <v>4316.13</v>
      </c>
      <c r="N79" s="97">
        <v>21</v>
      </c>
      <c r="P79" s="34"/>
      <c r="Q79" s="34"/>
    </row>
    <row r="80" spans="9:17" x14ac:dyDescent="0.25">
      <c r="I80" s="99"/>
      <c r="K80" s="28">
        <v>2.4107708364662686</v>
      </c>
      <c r="L80" s="7">
        <v>490241</v>
      </c>
      <c r="M80" s="96">
        <f>+VLOOKUP(L80,'[2]2.5 RAD'!$A:$E,5,0)</f>
        <v>273621.08739000472</v>
      </c>
      <c r="N80" s="97">
        <v>22</v>
      </c>
      <c r="P80" s="34"/>
      <c r="Q80" s="34"/>
    </row>
    <row r="81" spans="9:17" x14ac:dyDescent="0.25">
      <c r="I81" s="98"/>
      <c r="K81" s="28">
        <v>1.8134929479020474</v>
      </c>
      <c r="L81" s="3">
        <v>490246</v>
      </c>
      <c r="M81" s="96">
        <f>+VLOOKUP(L81,'[2]2.5 RAD'!$A:$E,5,0)</f>
        <v>477392.61600000027</v>
      </c>
      <c r="N81" s="97">
        <v>23</v>
      </c>
      <c r="P81" s="34"/>
      <c r="Q81" s="34"/>
    </row>
    <row r="82" spans="9:17" x14ac:dyDescent="0.25">
      <c r="I82" s="98"/>
      <c r="K82" s="28">
        <v>0.78356008383051068</v>
      </c>
      <c r="L82" s="3">
        <v>490248</v>
      </c>
      <c r="M82" s="96">
        <f>+VLOOKUP(L82,'[2]2.5 RAD'!$A:$E,5,0)</f>
        <v>412212.26999999996</v>
      </c>
      <c r="N82" s="97">
        <v>24</v>
      </c>
      <c r="P82" s="34"/>
      <c r="Q82" s="34"/>
    </row>
    <row r="83" spans="9:17" x14ac:dyDescent="0.25">
      <c r="I83" s="98"/>
      <c r="K83" s="28">
        <v>1.1160949371674651</v>
      </c>
      <c r="L83" s="3">
        <v>500230</v>
      </c>
      <c r="M83" s="96">
        <f>+VLOOKUP(L83,'[2]2.5 RAD'!$A:$E,5,0)</f>
        <v>281482.80705000885</v>
      </c>
      <c r="N83" s="97">
        <v>25</v>
      </c>
      <c r="P83" s="34"/>
      <c r="Q83" s="34"/>
    </row>
    <row r="84" spans="9:17" x14ac:dyDescent="0.25">
      <c r="I84" s="98"/>
      <c r="K84" s="28">
        <v>1.6668288167242646</v>
      </c>
      <c r="L84" s="3">
        <v>500231</v>
      </c>
      <c r="M84" s="96">
        <f>+VLOOKUP(L84,'[2]2.5 RAD'!$A:$E,5,0)</f>
        <v>1509946.321920194</v>
      </c>
      <c r="N84" s="97">
        <v>26</v>
      </c>
      <c r="P84" s="34"/>
      <c r="Q84" s="34"/>
    </row>
    <row r="85" spans="9:17" x14ac:dyDescent="0.25">
      <c r="I85" s="99"/>
      <c r="K85" s="28">
        <v>2.4686720561496989</v>
      </c>
      <c r="L85" s="3">
        <v>500232</v>
      </c>
      <c r="M85" s="96">
        <f>+VLOOKUP(L85,'[2]2.5 RAD'!$A:$E,5,0)</f>
        <v>62502.259830000374</v>
      </c>
      <c r="N85" s="97">
        <v>27</v>
      </c>
      <c r="P85" s="34"/>
      <c r="Q85" s="34"/>
    </row>
    <row r="86" spans="9:17" x14ac:dyDescent="0.25">
      <c r="I86" s="99"/>
      <c r="K86" s="28">
        <v>3.1559727430357785</v>
      </c>
      <c r="L86" s="3">
        <v>500233</v>
      </c>
      <c r="M86" s="96">
        <f>+VLOOKUP(L86,'[2]2.5 RAD'!$A:$E,5,0)</f>
        <v>159246.98666999556</v>
      </c>
      <c r="N86" s="97">
        <v>28</v>
      </c>
      <c r="P86" s="34"/>
      <c r="Q86" s="34"/>
    </row>
    <row r="87" spans="9:17" x14ac:dyDescent="0.25">
      <c r="I87" s="98"/>
      <c r="K87" s="28">
        <v>1.6541260976660974</v>
      </c>
      <c r="L87" s="3">
        <v>500234</v>
      </c>
      <c r="M87" s="96">
        <f>+VLOOKUP(L87,'[2]2.5 RAD'!$A:$E,5,0)</f>
        <v>302051.90999999997</v>
      </c>
      <c r="N87" s="97">
        <v>29</v>
      </c>
      <c r="P87" s="34"/>
      <c r="Q87" s="34"/>
    </row>
    <row r="88" spans="9:17" x14ac:dyDescent="0.25">
      <c r="I88" s="98"/>
      <c r="K88" s="28">
        <v>1.6162003538383103</v>
      </c>
      <c r="L88" s="3">
        <v>510270</v>
      </c>
      <c r="M88" s="96">
        <f>+VLOOKUP(L88,'[2]2.5 RAD'!$A:$E,5,0)</f>
        <v>158776.41317999951</v>
      </c>
      <c r="N88" s="97">
        <v>30</v>
      </c>
      <c r="P88" s="34"/>
      <c r="Q88" s="34"/>
    </row>
    <row r="89" spans="9:17" x14ac:dyDescent="0.25">
      <c r="I89" s="98"/>
      <c r="K89" s="28">
        <v>2.5546193281321896</v>
      </c>
      <c r="L89" s="3">
        <v>510271</v>
      </c>
      <c r="M89" s="96">
        <f>+VLOOKUP(L89,'[2]2.5 RAD'!$A:$E,5,0)</f>
        <v>127696.43999999999</v>
      </c>
      <c r="N89" s="97">
        <v>31</v>
      </c>
      <c r="P89" s="34"/>
      <c r="Q89" s="34"/>
    </row>
    <row r="90" spans="9:17" x14ac:dyDescent="0.25">
      <c r="I90" s="98"/>
      <c r="K90" s="28">
        <v>1.1860681562696986</v>
      </c>
      <c r="L90" s="3">
        <v>510299</v>
      </c>
      <c r="M90" s="96">
        <f>+VLOOKUP(L90,'[2]2.5 RAD'!$A:$E,5,0)</f>
        <v>613076.46</v>
      </c>
      <c r="N90" s="97">
        <v>32</v>
      </c>
      <c r="P90" s="34"/>
      <c r="Q90" s="34"/>
    </row>
    <row r="91" spans="9:17" x14ac:dyDescent="0.25">
      <c r="I91" s="98"/>
      <c r="K91" s="28">
        <v>0.20675404935920499</v>
      </c>
      <c r="L91" s="7">
        <v>520314</v>
      </c>
      <c r="M91" s="96">
        <f>+VLOOKUP(L91,'[2]2.5 RAD'!$A:$E,5,0)</f>
        <v>506293.86</v>
      </c>
      <c r="N91" s="97">
        <v>33</v>
      </c>
      <c r="P91" s="34"/>
      <c r="Q91" s="34"/>
    </row>
    <row r="92" spans="9:17" x14ac:dyDescent="0.25">
      <c r="I92" s="98"/>
      <c r="K92" s="28">
        <v>2.7572843032274728</v>
      </c>
      <c r="L92" s="3">
        <v>520316</v>
      </c>
      <c r="M92" s="96">
        <f>+VLOOKUP(L92,'[2]2.5 RAD'!$A:$E,5,0)</f>
        <v>250809.00579000378</v>
      </c>
      <c r="N92" s="97">
        <v>34</v>
      </c>
      <c r="P92" s="34"/>
      <c r="Q92" s="34"/>
    </row>
    <row r="93" spans="9:17" x14ac:dyDescent="0.25">
      <c r="I93" s="98"/>
      <c r="K93" s="28">
        <v>2.3216913128825305</v>
      </c>
      <c r="L93" s="3">
        <v>520333</v>
      </c>
      <c r="M93" s="96">
        <f>+VLOOKUP(L93,'[2]2.5 RAD'!$A:$E,5,0)</f>
        <v>323296.272</v>
      </c>
      <c r="N93" s="97">
        <v>35</v>
      </c>
      <c r="P93" s="34"/>
      <c r="Q93" s="34"/>
    </row>
    <row r="94" spans="9:17" x14ac:dyDescent="0.25">
      <c r="I94" s="98"/>
      <c r="K94" s="28">
        <v>1.4160794360673654</v>
      </c>
      <c r="L94" s="3">
        <v>530355</v>
      </c>
      <c r="M94" s="96">
        <f>+VLOOKUP(L94,'[2]2.5 RAD'!$A:$E,5,0)</f>
        <v>402196.17</v>
      </c>
      <c r="N94" s="97">
        <v>36</v>
      </c>
      <c r="P94" s="34"/>
      <c r="Q94" s="34"/>
    </row>
    <row r="95" spans="9:17" x14ac:dyDescent="0.25">
      <c r="I95" s="98"/>
      <c r="K95" s="28">
        <v>1.8224084701145755</v>
      </c>
      <c r="L95" s="3">
        <v>530359</v>
      </c>
      <c r="M95" s="96">
        <f>+VLOOKUP(L95,'[2]2.5 RAD'!$A:$E,5,0)</f>
        <v>215479.2181199948</v>
      </c>
      <c r="N95" s="97">
        <v>37</v>
      </c>
      <c r="P95" s="34"/>
      <c r="Q95" s="34"/>
    </row>
    <row r="96" spans="9:17" x14ac:dyDescent="0.25">
      <c r="I96" s="99"/>
      <c r="K96" s="28">
        <v>1.4260212919632158</v>
      </c>
      <c r="L96" s="3">
        <v>530365</v>
      </c>
      <c r="M96" s="96">
        <f>+VLOOKUP(L96,'[2]2.5 RAD'!$A:$E,5,0)</f>
        <v>224083.03499999997</v>
      </c>
      <c r="N96" s="97">
        <v>38</v>
      </c>
    </row>
    <row r="97" spans="9:14" x14ac:dyDescent="0.25">
      <c r="I97" s="98"/>
      <c r="K97" s="28">
        <v>1.4286499931988614</v>
      </c>
      <c r="L97" s="3">
        <v>530396</v>
      </c>
      <c r="M97" s="96">
        <f>+VLOOKUP(L97,'[2]2.5 RAD'!$A:$E,5,0)</f>
        <v>383352.37607998628</v>
      </c>
      <c r="N97" s="97">
        <v>39</v>
      </c>
    </row>
    <row r="98" spans="9:14" x14ac:dyDescent="0.25">
      <c r="I98" s="98"/>
      <c r="K98" s="28">
        <v>1.5316365179873856</v>
      </c>
      <c r="L98" s="3">
        <v>530439</v>
      </c>
      <c r="M98" s="96">
        <f>+VLOOKUP(L98,'[2]2.5 RAD'!$A:$E,5,0)</f>
        <v>356018.00672999292</v>
      </c>
      <c r="N98" s="97">
        <v>40</v>
      </c>
    </row>
    <row r="99" spans="9:14" x14ac:dyDescent="0.25">
      <c r="I99" s="98"/>
      <c r="K99" s="28">
        <v>0.76525980007451766</v>
      </c>
      <c r="L99" s="3">
        <v>530444</v>
      </c>
      <c r="M99" s="96">
        <f>+VLOOKUP(L99,'[2]2.5 RAD'!$A:$E,5,0)</f>
        <v>6454479.3599999994</v>
      </c>
      <c r="N99" s="97">
        <v>41</v>
      </c>
    </row>
    <row r="100" spans="9:14" x14ac:dyDescent="0.25">
      <c r="I100" s="98"/>
      <c r="K100" s="28">
        <v>1.0918942801280132</v>
      </c>
      <c r="L100" s="3" t="s">
        <v>126</v>
      </c>
      <c r="M100" s="96">
        <f>+VLOOKUP(L100,'[2]2.5 RAD'!$A:$E,5,0)</f>
        <v>1098190.6752000088</v>
      </c>
      <c r="N100" s="97">
        <v>42</v>
      </c>
    </row>
    <row r="101" spans="9:14" x14ac:dyDescent="0.25">
      <c r="I101" s="98"/>
      <c r="K101" s="28">
        <v>0.78475271534965529</v>
      </c>
      <c r="L101" s="3" t="s">
        <v>128</v>
      </c>
      <c r="M101" s="96">
        <f>+VLOOKUP(L101,'[2]2.5 RAD'!$A:$E,5,0)</f>
        <v>367576.92</v>
      </c>
      <c r="N101" s="97">
        <v>43</v>
      </c>
    </row>
    <row r="102" spans="9:14" x14ac:dyDescent="0.25">
      <c r="I102" s="98"/>
      <c r="K102" s="28">
        <v>0.96382456652609383</v>
      </c>
      <c r="L102" s="3" t="s">
        <v>130</v>
      </c>
      <c r="M102" s="96">
        <f>+VLOOKUP(L102,'[2]2.5 RAD'!$A:$E,5,0)</f>
        <v>409232.2635599912</v>
      </c>
      <c r="N102" s="97">
        <v>44</v>
      </c>
    </row>
    <row r="103" spans="9:14" x14ac:dyDescent="0.25">
      <c r="I103" s="98"/>
      <c r="K103" s="28">
        <v>1.9477479453524467</v>
      </c>
      <c r="L103" s="3" t="s">
        <v>131</v>
      </c>
      <c r="M103" s="96">
        <f>+VLOOKUP(L103,'[2]2.5 RAD'!$A:$E,5,0)</f>
        <v>780703.88871002977</v>
      </c>
      <c r="N103" s="97">
        <v>45</v>
      </c>
    </row>
    <row r="104" spans="9:14" x14ac:dyDescent="0.25">
      <c r="I104" s="98"/>
      <c r="K104" s="28">
        <v>12.931217500793737</v>
      </c>
      <c r="L104" s="3" t="s">
        <v>135</v>
      </c>
      <c r="M104" s="96">
        <f>+VLOOKUP(L104,'[2]2.5 RAD'!$A:$E,5,0)</f>
        <v>95819.76</v>
      </c>
      <c r="N104" s="97">
        <v>46</v>
      </c>
    </row>
    <row r="105" spans="9:14" x14ac:dyDescent="0.25">
      <c r="I105" s="98"/>
      <c r="K105" s="28">
        <v>4.1911603701865534</v>
      </c>
      <c r="L105" s="7" t="s">
        <v>133</v>
      </c>
      <c r="M105" s="96">
        <f>+VLOOKUP(L105,'[2]2.5 RAD'!$A:$E,5,0)</f>
        <v>95819.76</v>
      </c>
      <c r="N105" s="97">
        <v>47</v>
      </c>
    </row>
    <row r="106" spans="9:14" x14ac:dyDescent="0.25">
      <c r="I106" s="98"/>
      <c r="K106" s="28">
        <v>0</v>
      </c>
      <c r="L106" s="9" t="s">
        <v>137</v>
      </c>
      <c r="M106" s="96">
        <f>+VLOOKUP(L106,'[2]2.5 RAD'!$A:$E,5,0)</f>
        <v>103032</v>
      </c>
      <c r="N106" s="97">
        <v>48</v>
      </c>
    </row>
  </sheetData>
  <sheetProtection algorithmName="SHA-512" hashValue="pBNLd2AzEi0IdnuJf02eO9hVTqSjZZUxv3CYXoutR3GYe0VLvUKjP2OvziamfwFIywm7yMz/nvQ5pBYYCtMEgg==" saltValue="5wcBcm3W5J+l9DgpVjXg3Q==" spinCount="100000" sheet="1" objects="1" scenarios="1"/>
  <sortState ref="K59:N106">
    <sortCondition descending="1" ref="K59"/>
  </sortState>
  <mergeCells count="21">
    <mergeCell ref="K57:N57"/>
    <mergeCell ref="X4:X5"/>
    <mergeCell ref="K4:K5"/>
    <mergeCell ref="L4:L5"/>
    <mergeCell ref="M4:M5"/>
    <mergeCell ref="N4:P4"/>
    <mergeCell ref="Y4:Y5"/>
    <mergeCell ref="Z4:Z5"/>
    <mergeCell ref="Q3:Q5"/>
    <mergeCell ref="X3:Z3"/>
    <mergeCell ref="R3:U4"/>
    <mergeCell ref="K3:M3"/>
    <mergeCell ref="N3:P3"/>
    <mergeCell ref="C3:C5"/>
    <mergeCell ref="D3:D4"/>
    <mergeCell ref="E3:E5"/>
    <mergeCell ref="F3:F5"/>
    <mergeCell ref="G3:G5"/>
    <mergeCell ref="H3:H5"/>
    <mergeCell ref="I3:I5"/>
    <mergeCell ref="J3:J5"/>
  </mergeCells>
  <printOptions horizontalCentered="1"/>
  <pageMargins left="0.70866141732283472" right="0.70866141732283472" top="1.1417322834645669" bottom="0.55118110236220474" header="0.70866141732283472" footer="0.31496062992125984"/>
  <pageSetup paperSize="9" scale="64" orientation="landscape" r:id="rId1"/>
  <headerFooter>
    <oddHeader>&amp;C&amp;"-,Grassetto"&amp;22INDICAZIONI OPERATIVE: Allegato RAD_02</oddHeader>
    <oddFooter>&amp;C&amp;14pag. n.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I107"/>
  <sheetViews>
    <sheetView zoomScaleNormal="100" workbookViewId="0">
      <pane xSplit="2" ySplit="5" topLeftCell="C6" activePane="bottomRight" state="frozen"/>
      <selection activeCell="J10" sqref="J10"/>
      <selection pane="topRight" activeCell="J10" sqref="J10"/>
      <selection pane="bottomLeft" activeCell="J10" sqref="J10"/>
      <selection pane="bottomRight" activeCell="AI6" sqref="AI6:AI54"/>
    </sheetView>
  </sheetViews>
  <sheetFormatPr defaultColWidth="8.85546875" defaultRowHeight="15" x14ac:dyDescent="0.25"/>
  <cols>
    <col min="1" max="1" width="7.85546875" style="3" bestFit="1" customWidth="1"/>
    <col min="2" max="2" width="88" style="2" customWidth="1"/>
    <col min="3" max="3" width="3" style="1" customWidth="1"/>
    <col min="4" max="4" width="10.140625" style="1" customWidth="1"/>
    <col min="5" max="5" width="5.42578125" style="1" customWidth="1"/>
    <col min="6" max="6" width="8.85546875" style="1" bestFit="1" customWidth="1"/>
    <col min="7" max="7" width="10.140625" style="1" customWidth="1"/>
    <col min="8" max="8" width="10.140625" style="1" bestFit="1" customWidth="1"/>
    <col min="9" max="9" width="6.7109375" style="1" customWidth="1"/>
    <col min="10" max="11" width="11.7109375" style="1" bestFit="1" customWidth="1"/>
    <col min="12" max="12" width="10.7109375" style="1" customWidth="1"/>
    <col min="13" max="13" width="8.7109375" style="1" customWidth="1"/>
    <col min="14" max="14" width="14.42578125" style="1" customWidth="1"/>
    <col min="15" max="15" width="9.7109375" style="1" customWidth="1"/>
    <col min="16" max="17" width="10.140625" style="1" customWidth="1"/>
    <col min="18" max="18" width="6.7109375" style="1" customWidth="1"/>
    <col min="19" max="20" width="11.7109375" style="1" bestFit="1" customWidth="1"/>
    <col min="21" max="21" width="10.140625" style="1" bestFit="1" customWidth="1"/>
    <col min="22" max="22" width="8.7109375" style="1" customWidth="1"/>
    <col min="23" max="23" width="0.85546875" style="1" customWidth="1"/>
    <col min="24" max="24" width="8.7109375" style="1" customWidth="1"/>
    <col min="25" max="26" width="10.7109375" style="1" customWidth="1"/>
    <col min="27" max="27" width="0.85546875" style="1" customWidth="1"/>
    <col min="28" max="29" width="10.7109375" style="1" customWidth="1"/>
    <col min="30" max="30" width="0.85546875" style="1" customWidth="1"/>
    <col min="31" max="31" width="12.85546875" style="1" customWidth="1"/>
    <col min="32" max="33" width="4.140625" style="1" bestFit="1" customWidth="1"/>
    <col min="34" max="34" width="2.7109375" style="1" customWidth="1"/>
    <col min="35" max="35" width="10.28515625" style="1" customWidth="1"/>
    <col min="36" max="36" width="6.5703125" style="1" bestFit="1" customWidth="1"/>
    <col min="37" max="51" width="10.7109375" style="1" customWidth="1"/>
    <col min="52" max="16384" width="8.85546875" style="1"/>
  </cols>
  <sheetData>
    <row r="1" spans="1:35" ht="31.9" customHeight="1" x14ac:dyDescent="0.25">
      <c r="A1" s="51" t="s">
        <v>41</v>
      </c>
    </row>
    <row r="2" spans="1:35" ht="16.149999999999999" customHeight="1" x14ac:dyDescent="0.25">
      <c r="A2" s="45">
        <v>1</v>
      </c>
      <c r="B2" s="45">
        <v>2</v>
      </c>
      <c r="C2" s="67"/>
      <c r="D2" s="45">
        <v>3</v>
      </c>
      <c r="E2" s="67"/>
      <c r="F2" s="56">
        <v>4</v>
      </c>
      <c r="G2" s="56">
        <v>5</v>
      </c>
      <c r="H2" s="56">
        <v>6</v>
      </c>
      <c r="I2" s="56">
        <v>7</v>
      </c>
      <c r="J2" s="56">
        <v>8</v>
      </c>
      <c r="K2" s="56">
        <v>9</v>
      </c>
      <c r="L2" s="56">
        <v>10</v>
      </c>
      <c r="M2" s="56">
        <v>11</v>
      </c>
      <c r="N2" s="67"/>
      <c r="O2" s="56">
        <v>12</v>
      </c>
      <c r="P2" s="56">
        <v>13</v>
      </c>
      <c r="Q2" s="56">
        <v>14</v>
      </c>
      <c r="R2" s="56">
        <v>15</v>
      </c>
      <c r="S2" s="56">
        <v>16</v>
      </c>
      <c r="T2" s="56">
        <v>17</v>
      </c>
      <c r="U2" s="56">
        <v>18</v>
      </c>
      <c r="V2" s="56">
        <v>19</v>
      </c>
      <c r="W2" s="67"/>
      <c r="X2" s="75">
        <v>20</v>
      </c>
      <c r="Y2" s="75">
        <v>21</v>
      </c>
      <c r="Z2" s="75">
        <v>22</v>
      </c>
      <c r="AA2" s="76"/>
      <c r="AB2" s="75">
        <v>23</v>
      </c>
      <c r="AC2" s="75">
        <v>24</v>
      </c>
      <c r="AD2" s="67"/>
      <c r="AE2" s="74" t="s">
        <v>67</v>
      </c>
    </row>
    <row r="3" spans="1:35" ht="22.15" customHeight="1" x14ac:dyDescent="0.25">
      <c r="A3" s="40" t="s">
        <v>34</v>
      </c>
      <c r="B3" s="60" t="s">
        <v>173</v>
      </c>
      <c r="C3" s="67"/>
      <c r="D3" s="188" t="s">
        <v>66</v>
      </c>
      <c r="E3" s="67"/>
      <c r="F3" s="154" t="s">
        <v>70</v>
      </c>
      <c r="G3" s="155"/>
      <c r="H3" s="155"/>
      <c r="I3" s="156"/>
      <c r="J3" s="144" t="s">
        <v>27</v>
      </c>
      <c r="K3" s="144"/>
      <c r="L3" s="144"/>
      <c r="M3" s="179" t="s">
        <v>79</v>
      </c>
      <c r="N3" s="67"/>
      <c r="O3" s="154" t="s">
        <v>69</v>
      </c>
      <c r="P3" s="155"/>
      <c r="Q3" s="155"/>
      <c r="R3" s="156"/>
      <c r="S3" s="144" t="s">
        <v>27</v>
      </c>
      <c r="T3" s="144"/>
      <c r="U3" s="144"/>
      <c r="V3" s="179" t="s">
        <v>80</v>
      </c>
      <c r="W3" s="67"/>
      <c r="X3" s="184" t="s">
        <v>74</v>
      </c>
      <c r="Y3" s="180" t="s">
        <v>61</v>
      </c>
      <c r="Z3" s="181"/>
      <c r="AA3" s="76"/>
      <c r="AB3" s="185" t="s">
        <v>76</v>
      </c>
      <c r="AC3" s="185" t="s">
        <v>77</v>
      </c>
      <c r="AD3" s="67"/>
      <c r="AE3" s="177" t="s">
        <v>75</v>
      </c>
      <c r="AG3" s="35">
        <v>0.03</v>
      </c>
      <c r="AI3" s="161" t="s">
        <v>68</v>
      </c>
    </row>
    <row r="4" spans="1:35" ht="22.15" customHeight="1" x14ac:dyDescent="0.25">
      <c r="A4" s="40" t="s">
        <v>25</v>
      </c>
      <c r="B4" s="68" t="s">
        <v>24</v>
      </c>
      <c r="C4" s="67"/>
      <c r="D4" s="188"/>
      <c r="E4" s="67"/>
      <c r="F4" s="178" t="s">
        <v>23</v>
      </c>
      <c r="G4" s="179" t="s">
        <v>71</v>
      </c>
      <c r="H4" s="179" t="s">
        <v>65</v>
      </c>
      <c r="I4" s="178" t="s">
        <v>21</v>
      </c>
      <c r="J4" s="144" t="s">
        <v>20</v>
      </c>
      <c r="K4" s="144"/>
      <c r="L4" s="144"/>
      <c r="M4" s="179"/>
      <c r="N4" s="67"/>
      <c r="O4" s="178" t="s">
        <v>23</v>
      </c>
      <c r="P4" s="179" t="s">
        <v>71</v>
      </c>
      <c r="Q4" s="179" t="s">
        <v>64</v>
      </c>
      <c r="R4" s="178" t="s">
        <v>21</v>
      </c>
      <c r="S4" s="144" t="s">
        <v>20</v>
      </c>
      <c r="T4" s="144"/>
      <c r="U4" s="144"/>
      <c r="V4" s="179"/>
      <c r="W4" s="67"/>
      <c r="X4" s="184"/>
      <c r="Y4" s="182"/>
      <c r="Z4" s="183"/>
      <c r="AA4" s="76"/>
      <c r="AB4" s="186"/>
      <c r="AC4" s="186"/>
      <c r="AD4" s="67"/>
      <c r="AE4" s="177"/>
      <c r="AG4" s="35">
        <v>0</v>
      </c>
      <c r="AI4" s="146"/>
    </row>
    <row r="5" spans="1:35" ht="22.35" customHeight="1" x14ac:dyDescent="0.25">
      <c r="A5" s="62" t="s">
        <v>16</v>
      </c>
      <c r="B5" s="63" t="s">
        <v>15</v>
      </c>
      <c r="C5" s="67"/>
      <c r="D5" s="188"/>
      <c r="E5" s="67"/>
      <c r="F5" s="178"/>
      <c r="G5" s="179"/>
      <c r="H5" s="179"/>
      <c r="I5" s="178"/>
      <c r="J5" s="65" t="s">
        <v>13</v>
      </c>
      <c r="K5" s="65" t="s">
        <v>12</v>
      </c>
      <c r="L5" s="65" t="s">
        <v>11</v>
      </c>
      <c r="M5" s="179"/>
      <c r="N5" s="67"/>
      <c r="O5" s="178"/>
      <c r="P5" s="179"/>
      <c r="Q5" s="179"/>
      <c r="R5" s="178"/>
      <c r="S5" s="65" t="s">
        <v>13</v>
      </c>
      <c r="T5" s="65" t="s">
        <v>12</v>
      </c>
      <c r="U5" s="65" t="s">
        <v>11</v>
      </c>
      <c r="V5" s="179"/>
      <c r="W5" s="67"/>
      <c r="X5" s="184"/>
      <c r="Y5" s="77" t="s">
        <v>72</v>
      </c>
      <c r="Z5" s="69" t="s">
        <v>73</v>
      </c>
      <c r="AA5" s="76"/>
      <c r="AB5" s="187"/>
      <c r="AC5" s="187"/>
      <c r="AD5" s="67"/>
      <c r="AE5" s="177"/>
      <c r="AG5" s="35">
        <v>-0.03</v>
      </c>
      <c r="AI5" s="147"/>
    </row>
    <row r="6" spans="1:35" ht="14.45" customHeight="1" x14ac:dyDescent="0.25">
      <c r="A6" s="3">
        <v>440009</v>
      </c>
      <c r="B6" s="1" t="s">
        <v>87</v>
      </c>
      <c r="D6" s="18">
        <v>54028.35</v>
      </c>
      <c r="F6" s="105">
        <v>460133</v>
      </c>
      <c r="G6" s="107">
        <v>20</v>
      </c>
      <c r="H6" s="6">
        <v>2208657.3679999202</v>
      </c>
      <c r="I6" s="27">
        <v>1</v>
      </c>
      <c r="J6" s="1">
        <f>+H6</f>
        <v>2208657.3679999202</v>
      </c>
      <c r="M6" s="70">
        <f t="shared" ref="M6:M53" si="0">(J6*$AG$3)+(K6*$AG$4)+(L6*$AG$5)</f>
        <v>66259.721039997603</v>
      </c>
      <c r="O6" s="105">
        <v>460133</v>
      </c>
      <c r="P6" s="107">
        <v>21</v>
      </c>
      <c r="Q6" s="1">
        <v>2162717.2947455216</v>
      </c>
      <c r="R6" s="27">
        <v>1</v>
      </c>
      <c r="S6" s="1">
        <f>+Q6</f>
        <v>2162717.2947455216</v>
      </c>
      <c r="V6" s="26">
        <f t="shared" ref="V6:V53" si="1">(S6*$AG$3)+(T6*$AG$4)+(U6*$AG$5)</f>
        <v>64881.518842365644</v>
      </c>
      <c r="X6" s="3">
        <v>440009</v>
      </c>
      <c r="Y6" s="34">
        <f>VLOOKUP(X6,$F$6:$M$53,8,FALSE)</f>
        <v>-1777.7069999999999</v>
      </c>
      <c r="Z6" s="34">
        <f>VLOOKUP(X6,$O$6:$V$53,8,FALSE)</f>
        <v>-1653.2675099999999</v>
      </c>
      <c r="AA6" s="34"/>
      <c r="AB6" s="8">
        <f>+RAD_NA1_2022!T6</f>
        <v>1161.9000000000001</v>
      </c>
      <c r="AC6" s="8">
        <f>+RAD_NA1_2023!T6</f>
        <v>1080.567</v>
      </c>
      <c r="AE6" s="49">
        <f>Y6+Z6+AB6+AC6</f>
        <v>-1188.5075099999999</v>
      </c>
      <c r="AI6" s="50">
        <f>AE6/D6</f>
        <v>-2.199784946236559E-2</v>
      </c>
    </row>
    <row r="7" spans="1:35" ht="14.45" customHeight="1" x14ac:dyDescent="0.25">
      <c r="A7" s="3">
        <v>440011</v>
      </c>
      <c r="B7" s="1" t="s">
        <v>88</v>
      </c>
      <c r="D7" s="18">
        <v>84056.189999999988</v>
      </c>
      <c r="F7" s="105">
        <v>460104</v>
      </c>
      <c r="G7" s="107">
        <v>19</v>
      </c>
      <c r="H7" s="6">
        <v>751695.76565999479</v>
      </c>
      <c r="I7" s="27">
        <v>2</v>
      </c>
      <c r="J7" s="1">
        <f>+H7</f>
        <v>751695.76565999479</v>
      </c>
      <c r="M7" s="70">
        <f t="shared" si="0"/>
        <v>22550.872969799842</v>
      </c>
      <c r="O7" s="105">
        <v>450070</v>
      </c>
      <c r="P7" s="107">
        <v>19</v>
      </c>
      <c r="Q7" s="1">
        <v>91353.025799999989</v>
      </c>
      <c r="R7" s="27">
        <v>2</v>
      </c>
      <c r="S7" s="1">
        <f t="shared" ref="S7:S14" si="2">+Q7</f>
        <v>91353.025799999989</v>
      </c>
      <c r="V7" s="26">
        <f t="shared" si="1"/>
        <v>2740.5907739999993</v>
      </c>
      <c r="X7" s="3">
        <v>440011</v>
      </c>
      <c r="Y7" s="34">
        <f t="shared" ref="Y7:Y53" si="3">VLOOKUP(X7,$F$6:$M$53,8,FALSE)</f>
        <v>-2765.7197999999999</v>
      </c>
      <c r="Z7" s="34">
        <f t="shared" ref="Z7:Z53" si="4">VLOOKUP(X7,$O$6:$V$53,8,FALSE)</f>
        <v>0</v>
      </c>
      <c r="AA7" s="34"/>
      <c r="AB7" s="8">
        <f>+RAD_NA1_2022!T7</f>
        <v>1807.66</v>
      </c>
      <c r="AC7" s="8">
        <f>+RAD_NA1_2023!T7</f>
        <v>1681.1237999999998</v>
      </c>
      <c r="AE7" s="49">
        <f t="shared" ref="AE7:AE53" si="5">Y7+Z7+AB7+AC7</f>
        <v>723.06400000000008</v>
      </c>
      <c r="AI7" s="50">
        <f t="shared" ref="AI7:AI54" si="6">AE7/D7</f>
        <v>8.6021505376344103E-3</v>
      </c>
    </row>
    <row r="8" spans="1:35" ht="14.45" customHeight="1" x14ac:dyDescent="0.25">
      <c r="A8" s="3">
        <v>440018</v>
      </c>
      <c r="B8" s="1" t="s">
        <v>139</v>
      </c>
      <c r="D8" s="18">
        <v>659943.5477400407</v>
      </c>
      <c r="F8" s="105">
        <v>500231</v>
      </c>
      <c r="G8" s="107">
        <v>19</v>
      </c>
      <c r="H8" s="6">
        <v>1583017.0454002023</v>
      </c>
      <c r="I8" s="27">
        <v>3</v>
      </c>
      <c r="J8" s="1">
        <f>+H8</f>
        <v>1583017.0454002023</v>
      </c>
      <c r="M8" s="70">
        <f t="shared" si="0"/>
        <v>47490.511362006066</v>
      </c>
      <c r="O8" s="105">
        <v>470141</v>
      </c>
      <c r="P8" s="107">
        <v>19</v>
      </c>
      <c r="Q8" s="1">
        <v>1437912.1152000001</v>
      </c>
      <c r="R8" s="27">
        <v>3</v>
      </c>
      <c r="S8" s="1">
        <f t="shared" si="2"/>
        <v>1437912.1152000001</v>
      </c>
      <c r="V8" s="26">
        <f t="shared" si="1"/>
        <v>43137.363455999999</v>
      </c>
      <c r="X8" s="3">
        <v>440018</v>
      </c>
      <c r="Y8" s="34">
        <f t="shared" si="3"/>
        <v>21288.501540001311</v>
      </c>
      <c r="Z8" s="34">
        <f t="shared" si="4"/>
        <v>0</v>
      </c>
      <c r="AA8" s="34"/>
      <c r="AB8" s="8">
        <f>+RAD_NA1_2022!T8</f>
        <v>0</v>
      </c>
      <c r="AC8" s="8">
        <f>+RAD_NA1_2023!T8</f>
        <v>13198.870954800814</v>
      </c>
      <c r="AE8" s="49">
        <f t="shared" si="5"/>
        <v>34487.372494802126</v>
      </c>
      <c r="AI8" s="50">
        <f t="shared" si="6"/>
        <v>5.2258064516129028E-2</v>
      </c>
    </row>
    <row r="9" spans="1:35" ht="14.45" customHeight="1" x14ac:dyDescent="0.25">
      <c r="A9" s="3">
        <v>440073</v>
      </c>
      <c r="B9" s="1" t="s">
        <v>140</v>
      </c>
      <c r="D9" s="18">
        <v>37079.976990000097</v>
      </c>
      <c r="F9" s="106">
        <v>440018</v>
      </c>
      <c r="G9" s="107">
        <v>18</v>
      </c>
      <c r="H9" s="6">
        <v>709616.71800004377</v>
      </c>
      <c r="I9" s="27">
        <v>4</v>
      </c>
      <c r="J9" s="1">
        <f>+H9</f>
        <v>709616.71800004377</v>
      </c>
      <c r="M9" s="70">
        <f t="shared" si="0"/>
        <v>21288.501540001311</v>
      </c>
      <c r="O9" s="105">
        <v>520316</v>
      </c>
      <c r="P9" s="107">
        <v>19</v>
      </c>
      <c r="Q9" s="1">
        <v>250809.00579000378</v>
      </c>
      <c r="R9" s="27">
        <v>4</v>
      </c>
      <c r="S9" s="1">
        <f t="shared" si="2"/>
        <v>250809.00579000378</v>
      </c>
      <c r="V9" s="26">
        <f t="shared" si="1"/>
        <v>7524.2701737001134</v>
      </c>
      <c r="X9" s="3">
        <v>440073</v>
      </c>
      <c r="Y9" s="34">
        <f t="shared" si="3"/>
        <v>-1220.0508558000033</v>
      </c>
      <c r="Z9" s="34">
        <f t="shared" si="4"/>
        <v>0</v>
      </c>
      <c r="AA9" s="34"/>
      <c r="AB9" s="8">
        <f>+RAD_NA1_2022!T9</f>
        <v>797.41886000000216</v>
      </c>
      <c r="AC9" s="8">
        <f>+RAD_NA1_2023!T9</f>
        <v>741.59953980000193</v>
      </c>
      <c r="AE9" s="49">
        <f t="shared" si="5"/>
        <v>318.96754400000077</v>
      </c>
      <c r="AI9" s="50">
        <f t="shared" si="6"/>
        <v>8.6021505376344069E-3</v>
      </c>
    </row>
    <row r="10" spans="1:35" ht="14.45" customHeight="1" x14ac:dyDescent="0.25">
      <c r="A10" s="3">
        <v>440075</v>
      </c>
      <c r="B10" s="1" t="s">
        <v>141</v>
      </c>
      <c r="D10" s="18">
        <v>1134257.8297501102</v>
      </c>
      <c r="F10" s="105">
        <v>440075</v>
      </c>
      <c r="G10" s="107">
        <v>18</v>
      </c>
      <c r="H10" s="6">
        <v>1195239.433500116</v>
      </c>
      <c r="I10" s="27">
        <v>5</v>
      </c>
      <c r="J10" s="1">
        <f>+H10</f>
        <v>1195239.433500116</v>
      </c>
      <c r="M10" s="70">
        <f t="shared" si="0"/>
        <v>35857.183005003477</v>
      </c>
      <c r="O10" s="105">
        <v>460104</v>
      </c>
      <c r="P10" s="107">
        <v>17</v>
      </c>
      <c r="Q10" s="1">
        <v>721627.93503359507</v>
      </c>
      <c r="R10" s="27">
        <v>5</v>
      </c>
      <c r="S10" s="1">
        <f t="shared" si="2"/>
        <v>721627.93503359507</v>
      </c>
      <c r="V10" s="26">
        <f t="shared" si="1"/>
        <v>21648.83805100785</v>
      </c>
      <c r="X10" s="3">
        <v>440075</v>
      </c>
      <c r="Y10" s="34">
        <f t="shared" si="3"/>
        <v>35857.183005003477</v>
      </c>
      <c r="Z10" s="34">
        <f t="shared" si="4"/>
        <v>0</v>
      </c>
      <c r="AA10" s="34"/>
      <c r="AB10" s="8">
        <f>+RAD_NA1_2022!T10</f>
        <v>-24392.64150000237</v>
      </c>
      <c r="AC10" s="8">
        <f>+RAD_NA1_2023!T10</f>
        <v>22685.156595002205</v>
      </c>
      <c r="AE10" s="49">
        <f t="shared" si="5"/>
        <v>34149.698100003312</v>
      </c>
      <c r="AI10" s="50">
        <f t="shared" si="6"/>
        <v>3.0107526881720425E-2</v>
      </c>
    </row>
    <row r="11" spans="1:35" ht="14.45" customHeight="1" x14ac:dyDescent="0.25">
      <c r="A11" s="3">
        <v>440076</v>
      </c>
      <c r="B11" s="1" t="s">
        <v>142</v>
      </c>
      <c r="D11" s="18">
        <v>352784.70528000116</v>
      </c>
      <c r="F11" s="105">
        <v>460103</v>
      </c>
      <c r="G11" s="107">
        <v>18</v>
      </c>
      <c r="H11" s="6">
        <v>357347.05799999478</v>
      </c>
      <c r="I11" s="27">
        <v>6</v>
      </c>
      <c r="J11" s="1">
        <f t="shared" ref="J11:J13" si="7">+H11</f>
        <v>357347.05799999478</v>
      </c>
      <c r="M11" s="70">
        <f t="shared" si="0"/>
        <v>10720.411739999843</v>
      </c>
      <c r="O11" s="105">
        <v>500231</v>
      </c>
      <c r="P11" s="107">
        <v>17</v>
      </c>
      <c r="Q11" s="1">
        <v>1509946.321920194</v>
      </c>
      <c r="R11" s="27">
        <v>6</v>
      </c>
      <c r="S11" s="1">
        <f t="shared" si="2"/>
        <v>1509946.321920194</v>
      </c>
      <c r="V11" s="26">
        <f t="shared" si="1"/>
        <v>45298.389657605818</v>
      </c>
      <c r="X11" s="3">
        <v>440076</v>
      </c>
      <c r="Y11" s="34">
        <f t="shared" si="3"/>
        <v>-11245.012480800036</v>
      </c>
      <c r="Z11" s="34">
        <f t="shared" si="4"/>
        <v>0</v>
      </c>
      <c r="AA11" s="34"/>
      <c r="AB11" s="8">
        <f>+RAD_NA1_2022!T11</f>
        <v>7349.6813600000241</v>
      </c>
      <c r="AC11" s="8">
        <f>+RAD_NA1_2023!T11</f>
        <v>7055.6941056000232</v>
      </c>
      <c r="AE11" s="49">
        <f t="shared" si="5"/>
        <v>3160.362984800011</v>
      </c>
      <c r="AI11" s="50">
        <f t="shared" si="6"/>
        <v>8.9583333333333355E-3</v>
      </c>
    </row>
    <row r="12" spans="1:35" ht="14.45" customHeight="1" x14ac:dyDescent="0.25">
      <c r="A12" s="3">
        <v>440079</v>
      </c>
      <c r="B12" s="1" t="s">
        <v>143</v>
      </c>
      <c r="D12" s="18">
        <v>191530.15013999806</v>
      </c>
      <c r="F12" s="105">
        <v>490246</v>
      </c>
      <c r="G12" s="107">
        <v>18</v>
      </c>
      <c r="H12" s="6">
        <v>507229.65450000035</v>
      </c>
      <c r="I12" s="27">
        <v>7</v>
      </c>
      <c r="J12" s="1">
        <f t="shared" si="7"/>
        <v>507229.65450000035</v>
      </c>
      <c r="M12" s="70">
        <f t="shared" si="0"/>
        <v>15216.88963500001</v>
      </c>
      <c r="O12" s="105">
        <v>500232</v>
      </c>
      <c r="P12" s="107">
        <v>17</v>
      </c>
      <c r="Q12" s="1">
        <v>62502.259830000374</v>
      </c>
      <c r="R12" s="27">
        <v>7</v>
      </c>
      <c r="S12" s="1">
        <f t="shared" si="2"/>
        <v>62502.259830000374</v>
      </c>
      <c r="V12" s="26">
        <f t="shared" si="1"/>
        <v>1875.0677949000112</v>
      </c>
      <c r="X12" s="3">
        <v>440079</v>
      </c>
      <c r="Y12" s="34">
        <f t="shared" si="3"/>
        <v>-6178.3919399999377</v>
      </c>
      <c r="Z12" s="34">
        <f t="shared" si="4"/>
        <v>3506.8803586063464</v>
      </c>
      <c r="AA12" s="34"/>
      <c r="AB12" s="8">
        <f>+RAD_NA1_2022!T12</f>
        <v>0</v>
      </c>
      <c r="AC12" s="8">
        <f>+RAD_NA1_2023!T12</f>
        <v>3830.6030027999614</v>
      </c>
      <c r="AE12" s="49">
        <f t="shared" si="5"/>
        <v>1159.09142140637</v>
      </c>
      <c r="AI12" s="50">
        <f t="shared" si="6"/>
        <v>6.051743918955515E-3</v>
      </c>
    </row>
    <row r="13" spans="1:35" ht="14.45" customHeight="1" x14ac:dyDescent="0.25">
      <c r="A13" s="3">
        <v>450046</v>
      </c>
      <c r="B13" s="1" t="s">
        <v>93</v>
      </c>
      <c r="D13" s="18">
        <v>163048.38491999832</v>
      </c>
      <c r="F13" s="105">
        <v>530396</v>
      </c>
      <c r="G13" s="107">
        <v>18</v>
      </c>
      <c r="H13" s="6">
        <v>412206.8559999853</v>
      </c>
      <c r="I13" s="27">
        <v>8</v>
      </c>
      <c r="J13" s="1">
        <f t="shared" si="7"/>
        <v>412206.8559999853</v>
      </c>
      <c r="M13" s="70">
        <f t="shared" si="0"/>
        <v>12366.205679999559</v>
      </c>
      <c r="O13" s="105">
        <v>500234</v>
      </c>
      <c r="P13" s="107">
        <v>17</v>
      </c>
      <c r="Q13" s="1">
        <v>302051.90999999997</v>
      </c>
      <c r="R13" s="27">
        <v>8</v>
      </c>
      <c r="S13" s="1">
        <f t="shared" si="2"/>
        <v>302051.90999999997</v>
      </c>
      <c r="V13" s="26">
        <f t="shared" si="1"/>
        <v>9061.5572999999986</v>
      </c>
      <c r="X13" s="3">
        <v>450046</v>
      </c>
      <c r="Y13" s="34">
        <f t="shared" si="3"/>
        <v>-5259.6253199999464</v>
      </c>
      <c r="Z13" s="34">
        <f t="shared" si="4"/>
        <v>-4989.2805785519486</v>
      </c>
      <c r="AA13" s="34"/>
      <c r="AB13" s="8">
        <f>+RAD_NA1_2022!T13</f>
        <v>0</v>
      </c>
      <c r="AC13" s="8">
        <f>+RAD_NA1_2023!T13</f>
        <v>3260.9676983999666</v>
      </c>
      <c r="AE13" s="49">
        <f t="shared" si="5"/>
        <v>-6987.938200151928</v>
      </c>
      <c r="AI13" s="50">
        <f t="shared" si="6"/>
        <v>-4.285806451612903E-2</v>
      </c>
    </row>
    <row r="14" spans="1:35" ht="14.45" customHeight="1" x14ac:dyDescent="0.25">
      <c r="A14" s="3">
        <v>450069</v>
      </c>
      <c r="B14" s="1" t="s">
        <v>94</v>
      </c>
      <c r="D14" s="18">
        <v>283250.09999999998</v>
      </c>
      <c r="F14" s="105">
        <v>450070</v>
      </c>
      <c r="G14" s="107">
        <v>17</v>
      </c>
      <c r="H14" s="6">
        <v>98229.06</v>
      </c>
      <c r="I14" s="27">
        <v>9</v>
      </c>
      <c r="J14" s="1">
        <f>+H14*$J$61</f>
        <v>17927.465481396339</v>
      </c>
      <c r="K14" s="1">
        <f t="shared" ref="K14:K21" si="8">+H14-J14</f>
        <v>80301.594518603655</v>
      </c>
      <c r="M14" s="70">
        <f t="shared" si="0"/>
        <v>537.8239644418901</v>
      </c>
      <c r="O14" s="106" t="s">
        <v>131</v>
      </c>
      <c r="P14" s="107">
        <v>17</v>
      </c>
      <c r="Q14" s="1">
        <v>765089.81093582918</v>
      </c>
      <c r="R14" s="27">
        <v>9</v>
      </c>
      <c r="S14" s="1">
        <f t="shared" si="2"/>
        <v>765089.81093582918</v>
      </c>
      <c r="V14" s="26">
        <f t="shared" si="1"/>
        <v>22952.694328074875</v>
      </c>
      <c r="X14" s="3">
        <v>450069</v>
      </c>
      <c r="Y14" s="34">
        <f t="shared" si="3"/>
        <v>-9137.1</v>
      </c>
      <c r="Z14" s="34">
        <f t="shared" si="4"/>
        <v>0</v>
      </c>
      <c r="AA14" s="34"/>
      <c r="AB14" s="8">
        <f>+RAD_NA1_2022!T14</f>
        <v>0</v>
      </c>
      <c r="AC14" s="8">
        <f>+RAD_NA1_2023!T14</f>
        <v>5665.0019999999995</v>
      </c>
      <c r="AE14" s="49">
        <f t="shared" si="5"/>
        <v>-3472.0980000000009</v>
      </c>
      <c r="AI14" s="50">
        <f t="shared" si="6"/>
        <v>-1.2258064516129036E-2</v>
      </c>
    </row>
    <row r="15" spans="1:35" x14ac:dyDescent="0.25">
      <c r="A15" s="3">
        <v>450070</v>
      </c>
      <c r="B15" s="1" t="s">
        <v>95</v>
      </c>
      <c r="D15" s="18">
        <v>89561.79</v>
      </c>
      <c r="F15" s="105">
        <v>450072</v>
      </c>
      <c r="G15" s="107">
        <v>17</v>
      </c>
      <c r="H15" s="6">
        <v>782643.02364003542</v>
      </c>
      <c r="I15" s="27">
        <v>10</v>
      </c>
      <c r="J15" s="1">
        <f t="shared" ref="J15:J21" si="9">+H15*$J$61</f>
        <v>142837.62656959554</v>
      </c>
      <c r="K15" s="1">
        <f t="shared" si="8"/>
        <v>639805.39707043988</v>
      </c>
      <c r="M15" s="70">
        <f t="shared" si="0"/>
        <v>4285.1287970878657</v>
      </c>
      <c r="O15" s="105">
        <v>440079</v>
      </c>
      <c r="P15" s="107">
        <v>16</v>
      </c>
      <c r="Q15" s="1">
        <v>195360.75314279803</v>
      </c>
      <c r="R15" s="27">
        <v>10</v>
      </c>
      <c r="S15" s="1">
        <f>+Q15*$S$61</f>
        <v>116896.01195354488</v>
      </c>
      <c r="T15" s="34">
        <f>+Q15-S15</f>
        <v>78464.741189253153</v>
      </c>
      <c r="U15" s="34"/>
      <c r="V15" s="26">
        <f t="shared" si="1"/>
        <v>3506.8803586063464</v>
      </c>
      <c r="X15" s="3">
        <v>450070</v>
      </c>
      <c r="Y15" s="34">
        <f t="shared" si="3"/>
        <v>537.8239644418901</v>
      </c>
      <c r="Z15" s="34">
        <f t="shared" si="4"/>
        <v>2740.5907739999993</v>
      </c>
      <c r="AA15" s="34"/>
      <c r="AB15" s="8">
        <f>+RAD_NA1_2022!T15</f>
        <v>1926.06</v>
      </c>
      <c r="AC15" s="8">
        <f>+RAD_NA1_2023!T15</f>
        <v>1791.2357999999999</v>
      </c>
      <c r="AE15" s="49">
        <f t="shared" si="5"/>
        <v>6995.7105384418901</v>
      </c>
      <c r="AI15" s="50">
        <f t="shared" si="6"/>
        <v>7.8110436810629735E-2</v>
      </c>
    </row>
    <row r="16" spans="1:35" ht="14.45" customHeight="1" x14ac:dyDescent="0.25">
      <c r="A16" s="3">
        <v>450072</v>
      </c>
      <c r="B16" s="1" t="s">
        <v>144</v>
      </c>
      <c r="D16" s="18">
        <v>713586.28626003221</v>
      </c>
      <c r="F16" s="105">
        <v>460098</v>
      </c>
      <c r="G16" s="107">
        <v>17</v>
      </c>
      <c r="H16" s="6">
        <v>279488.69142000109</v>
      </c>
      <c r="I16" s="27">
        <v>11</v>
      </c>
      <c r="J16" s="1">
        <f t="shared" si="9"/>
        <v>51008.569845549806</v>
      </c>
      <c r="K16" s="1">
        <f t="shared" si="8"/>
        <v>228480.12157445127</v>
      </c>
      <c r="M16" s="70">
        <f t="shared" si="0"/>
        <v>1530.257095366494</v>
      </c>
      <c r="O16" s="105">
        <v>490246</v>
      </c>
      <c r="P16" s="107">
        <v>16</v>
      </c>
      <c r="Q16" s="1">
        <v>477392.61600000027</v>
      </c>
      <c r="R16" s="27">
        <v>11</v>
      </c>
      <c r="S16" s="1">
        <f t="shared" ref="S16:S19" si="10">+Q16*$S$61</f>
        <v>285652.52768901578</v>
      </c>
      <c r="T16" s="34">
        <f t="shared" ref="T16:T19" si="11">+Q16-S16</f>
        <v>191740.08831098449</v>
      </c>
      <c r="U16" s="34"/>
      <c r="V16" s="26">
        <f t="shared" si="1"/>
        <v>8569.5758306704738</v>
      </c>
      <c r="X16" s="3">
        <v>450072</v>
      </c>
      <c r="Y16" s="34">
        <f t="shared" si="3"/>
        <v>4285.1287970878657</v>
      </c>
      <c r="Z16" s="34">
        <f t="shared" si="4"/>
        <v>0</v>
      </c>
      <c r="AA16" s="34"/>
      <c r="AB16" s="8">
        <f>+RAD_NA1_2022!T16</f>
        <v>15345.941640000696</v>
      </c>
      <c r="AC16" s="8">
        <f>+RAD_NA1_2023!T16</f>
        <v>14271.725725200644</v>
      </c>
      <c r="AE16" s="49">
        <f t="shared" si="5"/>
        <v>33902.796162289203</v>
      </c>
      <c r="AI16" s="50">
        <f t="shared" si="6"/>
        <v>4.751043681062974E-2</v>
      </c>
    </row>
    <row r="17" spans="1:35" ht="14.45" customHeight="1" x14ac:dyDescent="0.25">
      <c r="A17" s="3">
        <v>460098</v>
      </c>
      <c r="B17" s="1" t="s">
        <v>97</v>
      </c>
      <c r="D17" s="18">
        <v>254827.92453000098</v>
      </c>
      <c r="F17" s="105">
        <v>470145</v>
      </c>
      <c r="G17" s="107">
        <v>17</v>
      </c>
      <c r="H17" s="6">
        <v>42696.630839999729</v>
      </c>
      <c r="I17" s="27">
        <v>12</v>
      </c>
      <c r="J17" s="1">
        <f t="shared" si="9"/>
        <v>7792.4228894791158</v>
      </c>
      <c r="K17" s="1">
        <f t="shared" si="8"/>
        <v>34904.207950520613</v>
      </c>
      <c r="M17" s="70">
        <f t="shared" si="0"/>
        <v>233.77268668437347</v>
      </c>
      <c r="O17" s="105">
        <v>530355</v>
      </c>
      <c r="P17" s="107">
        <v>16</v>
      </c>
      <c r="Q17" s="1">
        <v>402196.17</v>
      </c>
      <c r="R17" s="27">
        <v>12</v>
      </c>
      <c r="S17" s="1">
        <f t="shared" si="10"/>
        <v>240658.00085048034</v>
      </c>
      <c r="T17" s="34">
        <f t="shared" si="11"/>
        <v>161538.16914951964</v>
      </c>
      <c r="U17" s="34"/>
      <c r="V17" s="26">
        <f t="shared" si="1"/>
        <v>7219.7400255144103</v>
      </c>
      <c r="X17" s="3">
        <v>460098</v>
      </c>
      <c r="Y17" s="34">
        <f t="shared" si="3"/>
        <v>1530.257095366494</v>
      </c>
      <c r="Z17" s="34">
        <f t="shared" si="4"/>
        <v>-6218.0719272401557</v>
      </c>
      <c r="AA17" s="34"/>
      <c r="AB17" s="8">
        <f>+RAD_NA1_2022!T17</f>
        <v>5480.1704200000213</v>
      </c>
      <c r="AC17" s="8">
        <f>+RAD_NA1_2023!T17</f>
        <v>5096.5584906000195</v>
      </c>
      <c r="AE17" s="49">
        <f t="shared" si="5"/>
        <v>5888.9140787263786</v>
      </c>
      <c r="AI17" s="50">
        <f t="shared" si="6"/>
        <v>2.3109375040383674E-2</v>
      </c>
    </row>
    <row r="18" spans="1:35" ht="14.45" customHeight="1" x14ac:dyDescent="0.25">
      <c r="A18" s="3">
        <v>460103</v>
      </c>
      <c r="B18" s="1" t="s">
        <v>145</v>
      </c>
      <c r="D18" s="18">
        <v>332332.76393999514</v>
      </c>
      <c r="F18" s="105">
        <v>500230</v>
      </c>
      <c r="G18" s="107">
        <v>17</v>
      </c>
      <c r="H18" s="6">
        <v>308723.07870000973</v>
      </c>
      <c r="I18" s="27">
        <v>13</v>
      </c>
      <c r="J18" s="1">
        <f t="shared" si="9"/>
        <v>56344.042554258682</v>
      </c>
      <c r="K18" s="1">
        <f t="shared" si="8"/>
        <v>252379.03614575104</v>
      </c>
      <c r="M18" s="70">
        <f t="shared" si="0"/>
        <v>1690.3212766277604</v>
      </c>
      <c r="O18" s="105">
        <v>530396</v>
      </c>
      <c r="P18" s="107">
        <v>16</v>
      </c>
      <c r="Q18" s="1">
        <v>383352.37607998628</v>
      </c>
      <c r="R18" s="27">
        <v>13</v>
      </c>
      <c r="S18" s="1">
        <f t="shared" si="10"/>
        <v>229382.63297905348</v>
      </c>
      <c r="T18" s="34">
        <f t="shared" si="11"/>
        <v>153969.7431009328</v>
      </c>
      <c r="U18" s="34"/>
      <c r="V18" s="26">
        <f t="shared" si="1"/>
        <v>6881.4789893716043</v>
      </c>
      <c r="X18" s="3">
        <v>460103</v>
      </c>
      <c r="Y18" s="34">
        <f t="shared" si="3"/>
        <v>10720.411739999843</v>
      </c>
      <c r="Z18" s="34">
        <f t="shared" si="4"/>
        <v>-8109.2723011764219</v>
      </c>
      <c r="AA18" s="34"/>
      <c r="AB18" s="8">
        <f>+RAD_NA1_2022!T18</f>
        <v>0</v>
      </c>
      <c r="AC18" s="8">
        <f>+RAD_NA1_2023!T18</f>
        <v>6646.6552787999026</v>
      </c>
      <c r="AE18" s="49">
        <f t="shared" si="5"/>
        <v>9257.7947176233247</v>
      </c>
      <c r="AI18" s="50">
        <f t="shared" si="6"/>
        <v>2.7857002745882979E-2</v>
      </c>
    </row>
    <row r="19" spans="1:35" ht="14.45" customHeight="1" x14ac:dyDescent="0.25">
      <c r="A19" s="7">
        <v>460104</v>
      </c>
      <c r="B19" s="34" t="s">
        <v>146</v>
      </c>
      <c r="D19" s="18">
        <v>707478.36767999514</v>
      </c>
      <c r="F19" s="105">
        <v>500232</v>
      </c>
      <c r="G19" s="107">
        <v>17</v>
      </c>
      <c r="H19" s="6">
        <v>68550.865620000419</v>
      </c>
      <c r="I19" s="27">
        <v>14</v>
      </c>
      <c r="J19" s="1">
        <f t="shared" si="9"/>
        <v>12510.994985825952</v>
      </c>
      <c r="K19" s="1">
        <f t="shared" si="8"/>
        <v>56039.870634174469</v>
      </c>
      <c r="M19" s="70">
        <f t="shared" si="0"/>
        <v>375.32984957477851</v>
      </c>
      <c r="O19" s="106" t="s">
        <v>126</v>
      </c>
      <c r="P19" s="107">
        <v>16</v>
      </c>
      <c r="Q19" s="1">
        <v>1076226.8616960086</v>
      </c>
      <c r="R19" s="27">
        <v>14</v>
      </c>
      <c r="S19" s="1">
        <f t="shared" si="10"/>
        <v>643970.83890020091</v>
      </c>
      <c r="T19" s="34">
        <f t="shared" si="11"/>
        <v>432256.02279580769</v>
      </c>
      <c r="U19" s="34"/>
      <c r="V19" s="26">
        <f t="shared" si="1"/>
        <v>19319.125167006026</v>
      </c>
      <c r="X19" s="7">
        <v>460104</v>
      </c>
      <c r="Y19" s="34">
        <f t="shared" si="3"/>
        <v>22550.872969799842</v>
      </c>
      <c r="Z19" s="34">
        <f t="shared" si="4"/>
        <v>21648.83805100785</v>
      </c>
      <c r="AA19" s="34"/>
      <c r="AB19" s="8">
        <f>+RAD_NA1_2022!T19</f>
        <v>14739.132659999899</v>
      </c>
      <c r="AC19" s="8">
        <f>+RAD_NA1_2023!T19</f>
        <v>14149.567353599903</v>
      </c>
      <c r="AE19" s="49">
        <f t="shared" si="5"/>
        <v>73088.411034407502</v>
      </c>
      <c r="AI19" s="50">
        <f t="shared" si="6"/>
        <v>0.10330833333333334</v>
      </c>
    </row>
    <row r="20" spans="1:35" ht="14.45" customHeight="1" x14ac:dyDescent="0.25">
      <c r="A20" s="7">
        <v>460133</v>
      </c>
      <c r="B20" s="34" t="s">
        <v>147</v>
      </c>
      <c r="D20" s="18">
        <v>2120311.0732799233</v>
      </c>
      <c r="F20" s="105">
        <v>530355</v>
      </c>
      <c r="G20" s="107">
        <v>17</v>
      </c>
      <c r="H20" s="6">
        <v>441118.38</v>
      </c>
      <c r="I20" s="27">
        <v>15</v>
      </c>
      <c r="J20" s="1">
        <f t="shared" si="9"/>
        <v>80507.077342076504</v>
      </c>
      <c r="K20" s="1">
        <f t="shared" si="8"/>
        <v>360611.30265792349</v>
      </c>
      <c r="M20" s="70">
        <f t="shared" si="0"/>
        <v>2415.2123202622952</v>
      </c>
      <c r="O20" s="106" t="s">
        <v>137</v>
      </c>
      <c r="P20" s="107">
        <v>0</v>
      </c>
      <c r="Q20" s="1">
        <v>103032</v>
      </c>
      <c r="R20" s="27" t="s">
        <v>172</v>
      </c>
      <c r="T20" s="34">
        <f>+Q20</f>
        <v>103032</v>
      </c>
      <c r="U20" s="34"/>
      <c r="V20" s="26">
        <f t="shared" si="1"/>
        <v>0</v>
      </c>
      <c r="X20" s="7">
        <v>460133</v>
      </c>
      <c r="Y20" s="34">
        <f t="shared" si="3"/>
        <v>66259.721039997603</v>
      </c>
      <c r="Z20" s="34">
        <f t="shared" si="4"/>
        <v>64881.518842365644</v>
      </c>
      <c r="AA20" s="34"/>
      <c r="AB20" s="8">
        <f>+RAD_NA1_2022!T20</f>
        <v>0</v>
      </c>
      <c r="AC20" s="8">
        <f>+RAD_NA1_2023!T20</f>
        <v>42406.221465598464</v>
      </c>
      <c r="AE20" s="49">
        <f t="shared" si="5"/>
        <v>173547.46134796171</v>
      </c>
      <c r="AI20" s="50">
        <f t="shared" si="6"/>
        <v>8.1849999999999992E-2</v>
      </c>
    </row>
    <row r="21" spans="1:35" ht="14.45" customHeight="1" x14ac:dyDescent="0.25">
      <c r="A21" s="3">
        <v>470125</v>
      </c>
      <c r="B21" s="1" t="s">
        <v>101</v>
      </c>
      <c r="D21" s="18">
        <v>117604.07999999999</v>
      </c>
      <c r="F21" s="105">
        <v>530444</v>
      </c>
      <c r="G21" s="107">
        <v>17</v>
      </c>
      <c r="H21" s="6">
        <v>6612330.6535999998</v>
      </c>
      <c r="I21" s="27">
        <v>16</v>
      </c>
      <c r="J21" s="1">
        <f t="shared" si="9"/>
        <v>1206794.9092050039</v>
      </c>
      <c r="K21" s="1">
        <f t="shared" si="8"/>
        <v>5405535.7443949962</v>
      </c>
      <c r="M21" s="70">
        <f t="shared" si="0"/>
        <v>36203.847276150118</v>
      </c>
      <c r="O21" s="105">
        <v>440011</v>
      </c>
      <c r="P21" s="107">
        <v>15</v>
      </c>
      <c r="Q21" s="1">
        <v>85737.313799999989</v>
      </c>
      <c r="R21" s="27">
        <v>16</v>
      </c>
      <c r="T21" s="34">
        <f>+Q21</f>
        <v>85737.313799999989</v>
      </c>
      <c r="U21" s="34"/>
      <c r="V21" s="26">
        <f t="shared" si="1"/>
        <v>0</v>
      </c>
      <c r="X21" s="3">
        <v>470125</v>
      </c>
      <c r="Y21" s="34">
        <f t="shared" si="3"/>
        <v>-3869.5535999999997</v>
      </c>
      <c r="Z21" s="34">
        <f t="shared" si="4"/>
        <v>-3598.6848479999994</v>
      </c>
      <c r="AA21" s="34"/>
      <c r="AB21" s="8">
        <f>+RAD_NA1_2022!T21</f>
        <v>2529.12</v>
      </c>
      <c r="AC21" s="8">
        <f>+RAD_NA1_2023!T21</f>
        <v>2352.0816</v>
      </c>
      <c r="AE21" s="49">
        <f t="shared" si="5"/>
        <v>-2587.0368479999993</v>
      </c>
      <c r="AI21" s="50">
        <f t="shared" si="6"/>
        <v>-2.1997849462365587E-2</v>
      </c>
    </row>
    <row r="22" spans="1:35" ht="14.45" customHeight="1" x14ac:dyDescent="0.25">
      <c r="A22" s="3">
        <v>470141</v>
      </c>
      <c r="B22" s="1" t="s">
        <v>102</v>
      </c>
      <c r="D22" s="18">
        <v>1409717.76</v>
      </c>
      <c r="F22" s="106" t="s">
        <v>135</v>
      </c>
      <c r="G22" s="107" t="s">
        <v>172</v>
      </c>
      <c r="H22" s="6">
        <v>103032</v>
      </c>
      <c r="I22" s="27">
        <v>17</v>
      </c>
      <c r="K22" s="1">
        <f>+H22</f>
        <v>103032</v>
      </c>
      <c r="M22" s="70">
        <f t="shared" si="0"/>
        <v>0</v>
      </c>
      <c r="O22" s="105">
        <v>440018</v>
      </c>
      <c r="P22" s="107">
        <v>15</v>
      </c>
      <c r="Q22" s="1">
        <v>673142.41869484156</v>
      </c>
      <c r="R22" s="27">
        <v>17</v>
      </c>
      <c r="T22" s="34">
        <f t="shared" ref="T22:T35" si="12">+Q22</f>
        <v>673142.41869484156</v>
      </c>
      <c r="U22" s="34"/>
      <c r="V22" s="26">
        <f t="shared" si="1"/>
        <v>0</v>
      </c>
      <c r="X22" s="3">
        <v>470141</v>
      </c>
      <c r="Y22" s="34">
        <f t="shared" si="3"/>
        <v>-44053.68</v>
      </c>
      <c r="Z22" s="34">
        <f t="shared" si="4"/>
        <v>43137.363455999999</v>
      </c>
      <c r="AA22" s="34"/>
      <c r="AB22" s="8">
        <f>+RAD_NA1_2022!T22</f>
        <v>0</v>
      </c>
      <c r="AC22" s="8">
        <f>+RAD_NA1_2023!T22</f>
        <v>28194.355200000002</v>
      </c>
      <c r="AE22" s="49">
        <f t="shared" si="5"/>
        <v>27278.038656000001</v>
      </c>
      <c r="AI22" s="50">
        <f t="shared" si="6"/>
        <v>1.9349999999999999E-2</v>
      </c>
    </row>
    <row r="23" spans="1:35" ht="14.45" customHeight="1" x14ac:dyDescent="0.25">
      <c r="A23" s="3">
        <v>470145</v>
      </c>
      <c r="B23" s="1" t="s">
        <v>103</v>
      </c>
      <c r="D23" s="18">
        <v>38929.281059999747</v>
      </c>
      <c r="F23" s="106" t="s">
        <v>137</v>
      </c>
      <c r="G23" s="107" t="s">
        <v>172</v>
      </c>
      <c r="H23" s="6">
        <v>34344</v>
      </c>
      <c r="I23" s="27">
        <v>18</v>
      </c>
      <c r="K23" s="1">
        <f t="shared" ref="K23:K24" si="13">+H23</f>
        <v>34344</v>
      </c>
      <c r="M23" s="70">
        <f t="shared" si="0"/>
        <v>0</v>
      </c>
      <c r="O23" s="105">
        <v>440076</v>
      </c>
      <c r="P23" s="107">
        <v>15</v>
      </c>
      <c r="Q23" s="1">
        <v>359840.39938560117</v>
      </c>
      <c r="R23" s="27">
        <v>18</v>
      </c>
      <c r="T23" s="34">
        <f t="shared" si="12"/>
        <v>359840.39938560117</v>
      </c>
      <c r="U23" s="34"/>
      <c r="V23" s="26">
        <f t="shared" si="1"/>
        <v>0</v>
      </c>
      <c r="X23" s="3">
        <v>470145</v>
      </c>
      <c r="Y23" s="34">
        <f t="shared" si="3"/>
        <v>233.77268668437347</v>
      </c>
      <c r="Z23" s="34">
        <f t="shared" si="4"/>
        <v>0</v>
      </c>
      <c r="AA23" s="34"/>
      <c r="AB23" s="8">
        <f>+RAD_NA1_2022!T23</f>
        <v>837.18883999999468</v>
      </c>
      <c r="AC23" s="8">
        <f>+RAD_NA1_2023!T23</f>
        <v>778.58562119999499</v>
      </c>
      <c r="AE23" s="49">
        <f t="shared" si="5"/>
        <v>1849.5471478843633</v>
      </c>
      <c r="AI23" s="50">
        <f t="shared" si="6"/>
        <v>4.7510436810629747E-2</v>
      </c>
    </row>
    <row r="24" spans="1:35" x14ac:dyDescent="0.25">
      <c r="A24" s="3">
        <v>470182</v>
      </c>
      <c r="B24" s="1" t="s">
        <v>148</v>
      </c>
      <c r="D24" s="18">
        <v>1058860.7999999998</v>
      </c>
      <c r="F24" s="106" t="s">
        <v>133</v>
      </c>
      <c r="G24" s="107" t="s">
        <v>172</v>
      </c>
      <c r="H24" s="6">
        <v>103032</v>
      </c>
      <c r="I24" s="27">
        <v>19</v>
      </c>
      <c r="K24" s="1">
        <f t="shared" si="13"/>
        <v>103032</v>
      </c>
      <c r="M24" s="70">
        <f t="shared" si="0"/>
        <v>0</v>
      </c>
      <c r="O24" s="105">
        <v>450069</v>
      </c>
      <c r="P24" s="107">
        <v>15</v>
      </c>
      <c r="Q24" s="1">
        <v>288915.10199999996</v>
      </c>
      <c r="R24" s="27">
        <v>19</v>
      </c>
      <c r="T24" s="34">
        <f t="shared" si="12"/>
        <v>288915.10199999996</v>
      </c>
      <c r="U24" s="34"/>
      <c r="V24" s="26">
        <f t="shared" si="1"/>
        <v>0</v>
      </c>
      <c r="X24" s="3">
        <v>470182</v>
      </c>
      <c r="Y24" s="34">
        <f t="shared" si="3"/>
        <v>-34839.935999999994</v>
      </c>
      <c r="Z24" s="34">
        <f t="shared" si="4"/>
        <v>0</v>
      </c>
      <c r="AA24" s="34"/>
      <c r="AB24" s="8">
        <f>+RAD_NA1_2022!T24</f>
        <v>22771.200000000001</v>
      </c>
      <c r="AC24" s="8">
        <f>+RAD_NA1_2023!T24</f>
        <v>1524.8226000000002</v>
      </c>
      <c r="AE24" s="49">
        <f t="shared" si="5"/>
        <v>-10543.913399999994</v>
      </c>
      <c r="AI24" s="50">
        <f t="shared" si="6"/>
        <v>-9.9577899191281762E-3</v>
      </c>
    </row>
    <row r="25" spans="1:35" ht="14.45" customHeight="1" x14ac:dyDescent="0.25">
      <c r="A25" s="3">
        <v>480181</v>
      </c>
      <c r="B25" s="1" t="s">
        <v>105</v>
      </c>
      <c r="D25" s="18">
        <v>209815.43999999997</v>
      </c>
      <c r="F25" s="105">
        <v>500234</v>
      </c>
      <c r="G25" s="107">
        <v>16</v>
      </c>
      <c r="H25" s="6">
        <v>324787</v>
      </c>
      <c r="I25" s="27">
        <v>20</v>
      </c>
      <c r="K25" s="1">
        <f>+H25*$K$61</f>
        <v>233570.67720548247</v>
      </c>
      <c r="L25" s="1">
        <f>+H25-K25</f>
        <v>91216.322794517531</v>
      </c>
      <c r="M25" s="70">
        <f t="shared" si="0"/>
        <v>-2736.4896838355257</v>
      </c>
      <c r="O25" s="105">
        <v>490241</v>
      </c>
      <c r="P25" s="107">
        <v>15</v>
      </c>
      <c r="Q25" s="1">
        <v>273621.08739000472</v>
      </c>
      <c r="R25" s="27">
        <v>20</v>
      </c>
      <c r="T25" s="34">
        <f t="shared" si="12"/>
        <v>273621.08739000472</v>
      </c>
      <c r="U25" s="34"/>
      <c r="V25" s="26">
        <f t="shared" si="1"/>
        <v>0</v>
      </c>
      <c r="X25" s="3">
        <v>480181</v>
      </c>
      <c r="Y25" s="34">
        <f t="shared" si="3"/>
        <v>-6903.6048000000001</v>
      </c>
      <c r="Z25" s="34">
        <f t="shared" si="4"/>
        <v>-6294.4631999999992</v>
      </c>
      <c r="AA25" s="34"/>
      <c r="AB25" s="8">
        <f>+RAD_NA1_2022!T25</f>
        <v>4512.16</v>
      </c>
      <c r="AC25" s="8">
        <f>+RAD_NA1_2023!T25</f>
        <v>0</v>
      </c>
      <c r="AE25" s="49">
        <f t="shared" si="5"/>
        <v>-8685.9079999999994</v>
      </c>
      <c r="AI25" s="50">
        <f t="shared" si="6"/>
        <v>-4.1397849462365591E-2</v>
      </c>
    </row>
    <row r="26" spans="1:35" ht="14.45" customHeight="1" x14ac:dyDescent="0.25">
      <c r="A26" s="3">
        <v>480212</v>
      </c>
      <c r="B26" t="s">
        <v>149</v>
      </c>
      <c r="D26" s="18">
        <v>4316.13</v>
      </c>
      <c r="F26" s="105">
        <v>530359</v>
      </c>
      <c r="G26" s="107">
        <v>16</v>
      </c>
      <c r="H26" s="6">
        <v>236332.04567999431</v>
      </c>
      <c r="I26" s="27">
        <v>21</v>
      </c>
      <c r="K26" s="1">
        <f t="shared" ref="K26:K29" si="14">+H26*$K$61</f>
        <v>169958.26789506132</v>
      </c>
      <c r="L26" s="1">
        <f t="shared" ref="L26:L29" si="15">+H26-K26</f>
        <v>66373.777784932987</v>
      </c>
      <c r="M26" s="70">
        <f t="shared" si="0"/>
        <v>-1991.2133335479896</v>
      </c>
      <c r="O26" s="105">
        <v>500233</v>
      </c>
      <c r="P26" s="107">
        <v>15</v>
      </c>
      <c r="Q26" s="1">
        <v>159246.98666999556</v>
      </c>
      <c r="R26" s="27">
        <v>21</v>
      </c>
      <c r="T26" s="34">
        <f t="shared" si="12"/>
        <v>159246.98666999556</v>
      </c>
      <c r="U26" s="34"/>
      <c r="V26" s="26">
        <f t="shared" si="1"/>
        <v>0</v>
      </c>
      <c r="X26" s="3">
        <v>480212</v>
      </c>
      <c r="Y26" s="34">
        <f t="shared" si="3"/>
        <v>-142.01459999999997</v>
      </c>
      <c r="Z26" s="34">
        <f t="shared" si="4"/>
        <v>-129.48390000000001</v>
      </c>
      <c r="AA26" s="34"/>
      <c r="AB26" s="8">
        <f>+RAD_NA1_2022!T26</f>
        <v>92.820000000000007</v>
      </c>
      <c r="AC26" s="8">
        <f>+RAD_NA1_2023!T26</f>
        <v>0</v>
      </c>
      <c r="AE26" s="49">
        <f t="shared" si="5"/>
        <v>-178.67849999999999</v>
      </c>
      <c r="AI26" s="50">
        <f t="shared" si="6"/>
        <v>-4.1397849462365584E-2</v>
      </c>
    </row>
    <row r="27" spans="1:35" ht="14.45" customHeight="1" x14ac:dyDescent="0.25">
      <c r="A27" s="3">
        <v>490241</v>
      </c>
      <c r="B27" s="1" t="s">
        <v>150</v>
      </c>
      <c r="D27" s="18">
        <v>273621.08739000472</v>
      </c>
      <c r="F27" s="105">
        <v>530365</v>
      </c>
      <c r="G27" s="107">
        <v>16</v>
      </c>
      <c r="H27" s="6">
        <v>245768.49</v>
      </c>
      <c r="I27" s="27">
        <v>22</v>
      </c>
      <c r="K27" s="1">
        <f t="shared" si="14"/>
        <v>176744.48991206186</v>
      </c>
      <c r="L27" s="1">
        <f t="shared" si="15"/>
        <v>69024.000087938126</v>
      </c>
      <c r="M27" s="70">
        <f t="shared" si="0"/>
        <v>-2070.7200026381438</v>
      </c>
      <c r="O27" s="105">
        <v>520333</v>
      </c>
      <c r="P27" s="107">
        <v>15</v>
      </c>
      <c r="Q27" s="1">
        <v>323296.272</v>
      </c>
      <c r="R27" s="27">
        <v>22</v>
      </c>
      <c r="T27" s="34">
        <f t="shared" si="12"/>
        <v>323296.272</v>
      </c>
      <c r="U27" s="34"/>
      <c r="V27" s="26">
        <f t="shared" si="1"/>
        <v>0</v>
      </c>
      <c r="X27" s="3">
        <v>490241</v>
      </c>
      <c r="Y27" s="34">
        <f t="shared" si="3"/>
        <v>-9003.0164238001562</v>
      </c>
      <c r="Z27" s="34">
        <f t="shared" si="4"/>
        <v>0</v>
      </c>
      <c r="AA27" s="34"/>
      <c r="AB27" s="8">
        <f>+RAD_NA1_2022!T27</f>
        <v>5884.3244600001026</v>
      </c>
      <c r="AC27" s="8">
        <f>+RAD_NA1_2023!T27</f>
        <v>0</v>
      </c>
      <c r="AE27" s="49">
        <f t="shared" si="5"/>
        <v>-3118.6919638000536</v>
      </c>
      <c r="AI27" s="50">
        <f t="shared" si="6"/>
        <v>-1.139784946236559E-2</v>
      </c>
    </row>
    <row r="28" spans="1:35" ht="14.45" customHeight="1" x14ac:dyDescent="0.25">
      <c r="A28" s="3">
        <v>490246</v>
      </c>
      <c r="B28" s="1" t="s">
        <v>151</v>
      </c>
      <c r="D28" s="18">
        <v>477392.61600000027</v>
      </c>
      <c r="F28" s="106" t="s">
        <v>126</v>
      </c>
      <c r="G28" s="107">
        <v>16</v>
      </c>
      <c r="H28" s="6">
        <v>1121069.6476000091</v>
      </c>
      <c r="I28" s="27">
        <v>23</v>
      </c>
      <c r="K28" s="1">
        <f t="shared" si="14"/>
        <v>806217.60348919663</v>
      </c>
      <c r="L28" s="1">
        <f t="shared" si="15"/>
        <v>314852.04411081248</v>
      </c>
      <c r="M28" s="70">
        <f t="shared" si="0"/>
        <v>-9445.5613233243748</v>
      </c>
      <c r="O28" s="105">
        <v>530359</v>
      </c>
      <c r="P28" s="107">
        <v>15</v>
      </c>
      <c r="Q28" s="1">
        <v>215479.2181199948</v>
      </c>
      <c r="R28" s="27">
        <v>23</v>
      </c>
      <c r="T28" s="34">
        <f t="shared" si="12"/>
        <v>215479.2181199948</v>
      </c>
      <c r="U28" s="34"/>
      <c r="V28" s="26">
        <f t="shared" si="1"/>
        <v>0</v>
      </c>
      <c r="X28" s="3">
        <v>490246</v>
      </c>
      <c r="Y28" s="34">
        <f t="shared" si="3"/>
        <v>15216.88963500001</v>
      </c>
      <c r="Z28" s="34">
        <f t="shared" si="4"/>
        <v>8569.5758306704738</v>
      </c>
      <c r="AA28" s="34"/>
      <c r="AB28" s="8">
        <f>+RAD_NA1_2022!T28</f>
        <v>9945.6795000000075</v>
      </c>
      <c r="AC28" s="8">
        <f>+RAD_NA1_2023!T28</f>
        <v>0</v>
      </c>
      <c r="AE28" s="49">
        <f t="shared" si="5"/>
        <v>33732.144965670494</v>
      </c>
      <c r="AI28" s="50">
        <f t="shared" si="6"/>
        <v>7.0659125916749568E-2</v>
      </c>
    </row>
    <row r="29" spans="1:35" ht="14.45" customHeight="1" x14ac:dyDescent="0.25">
      <c r="A29" s="3">
        <v>490248</v>
      </c>
      <c r="B29" s="1" t="s">
        <v>152</v>
      </c>
      <c r="D29" s="18">
        <v>412212.26999999996</v>
      </c>
      <c r="F29" s="106" t="s">
        <v>131</v>
      </c>
      <c r="G29" s="107">
        <v>16</v>
      </c>
      <c r="H29" s="6">
        <v>856255.87794003263</v>
      </c>
      <c r="I29" s="27">
        <v>24</v>
      </c>
      <c r="K29" s="1">
        <f t="shared" si="14"/>
        <v>615776.69448478031</v>
      </c>
      <c r="L29" s="1">
        <f t="shared" si="15"/>
        <v>240479.18345525232</v>
      </c>
      <c r="M29" s="70">
        <f t="shared" si="0"/>
        <v>-7214.3755036575694</v>
      </c>
      <c r="O29" s="105">
        <v>440073</v>
      </c>
      <c r="P29" s="107">
        <v>14</v>
      </c>
      <c r="Q29" s="1">
        <v>37821.576529800099</v>
      </c>
      <c r="R29" s="27">
        <v>24</v>
      </c>
      <c r="T29" s="34">
        <f t="shared" si="12"/>
        <v>37821.576529800099</v>
      </c>
      <c r="U29" s="34"/>
      <c r="V29" s="26">
        <f t="shared" si="1"/>
        <v>0</v>
      </c>
      <c r="X29" s="3">
        <v>490248</v>
      </c>
      <c r="Y29" s="34">
        <f t="shared" si="3"/>
        <v>-13031.226599999998</v>
      </c>
      <c r="Z29" s="34">
        <f t="shared" si="4"/>
        <v>-9861.1931987483767</v>
      </c>
      <c r="AA29" s="34"/>
      <c r="AB29" s="8">
        <f>+RAD_NA1_2022!T29</f>
        <v>-8864.7800000000007</v>
      </c>
      <c r="AC29" s="8">
        <f>+RAD_NA1_2023!T29</f>
        <v>0</v>
      </c>
      <c r="AE29" s="49">
        <f t="shared" si="5"/>
        <v>-31757.199798748377</v>
      </c>
      <c r="AI29" s="50">
        <f t="shared" si="6"/>
        <v>-7.7040889148565078E-2</v>
      </c>
    </row>
    <row r="30" spans="1:35" ht="14.45" customHeight="1" x14ac:dyDescent="0.25">
      <c r="A30" s="3">
        <v>500230</v>
      </c>
      <c r="B30" s="1" t="s">
        <v>153</v>
      </c>
      <c r="D30" s="18">
        <v>281482.80705000885</v>
      </c>
      <c r="F30" s="105">
        <v>500233</v>
      </c>
      <c r="G30" s="107">
        <v>15</v>
      </c>
      <c r="H30" s="6">
        <v>174657.98537999514</v>
      </c>
      <c r="I30" s="27">
        <v>25</v>
      </c>
      <c r="L30" s="1">
        <f>+H30</f>
        <v>174657.98537999514</v>
      </c>
      <c r="M30" s="70">
        <f t="shared" si="0"/>
        <v>-5239.7395613998542</v>
      </c>
      <c r="O30" s="105">
        <v>440075</v>
      </c>
      <c r="P30" s="107">
        <v>14</v>
      </c>
      <c r="Q30" s="1">
        <v>1156942.9863451123</v>
      </c>
      <c r="R30" s="27">
        <v>25</v>
      </c>
      <c r="T30" s="34">
        <f t="shared" si="12"/>
        <v>1156942.9863451123</v>
      </c>
      <c r="U30" s="34"/>
      <c r="V30" s="26">
        <f t="shared" si="1"/>
        <v>0</v>
      </c>
      <c r="X30" s="3">
        <v>500230</v>
      </c>
      <c r="Y30" s="34">
        <f t="shared" si="3"/>
        <v>1690.3212766277604</v>
      </c>
      <c r="Z30" s="34">
        <f t="shared" si="4"/>
        <v>-6733.8032961661947</v>
      </c>
      <c r="AA30" s="34"/>
      <c r="AB30" s="8">
        <f>+RAD_NA1_2022!T30</f>
        <v>6053.3937000001906</v>
      </c>
      <c r="AC30" s="8">
        <f>+RAD_NA1_2023!T30</f>
        <v>0</v>
      </c>
      <c r="AE30" s="49">
        <f t="shared" si="5"/>
        <v>1009.9116804617561</v>
      </c>
      <c r="AI30" s="50">
        <f t="shared" si="6"/>
        <v>3.5878272319571297E-3</v>
      </c>
    </row>
    <row r="31" spans="1:35" ht="14.45" customHeight="1" x14ac:dyDescent="0.25">
      <c r="A31" s="3">
        <v>500231</v>
      </c>
      <c r="B31" s="1" t="s">
        <v>111</v>
      </c>
      <c r="D31" s="18">
        <v>1509946.321920194</v>
      </c>
      <c r="F31" s="105">
        <v>520316</v>
      </c>
      <c r="G31" s="107">
        <v>15</v>
      </c>
      <c r="H31" s="6">
        <v>275080.84506000415</v>
      </c>
      <c r="I31" s="27">
        <v>26</v>
      </c>
      <c r="L31" s="1">
        <f t="shared" ref="L31:L51" si="16">+H31</f>
        <v>275080.84506000415</v>
      </c>
      <c r="M31" s="70">
        <f t="shared" si="0"/>
        <v>-8252.4253518001242</v>
      </c>
      <c r="O31" s="105">
        <v>450072</v>
      </c>
      <c r="P31" s="107">
        <v>14</v>
      </c>
      <c r="Q31" s="1">
        <v>727858.01198523282</v>
      </c>
      <c r="R31" s="27">
        <v>26</v>
      </c>
      <c r="T31" s="34">
        <f t="shared" si="12"/>
        <v>727858.01198523282</v>
      </c>
      <c r="U31" s="34"/>
      <c r="V31" s="26">
        <f t="shared" si="1"/>
        <v>0</v>
      </c>
      <c r="X31" s="3">
        <v>500231</v>
      </c>
      <c r="Y31" s="34">
        <f t="shared" si="3"/>
        <v>47490.511362006066</v>
      </c>
      <c r="Z31" s="34">
        <f t="shared" si="4"/>
        <v>45298.389657605818</v>
      </c>
      <c r="AA31" s="34"/>
      <c r="AB31" s="8">
        <f>+RAD_NA1_2022!T31</f>
        <v>10156.2934</v>
      </c>
      <c r="AC31" s="8">
        <f>+RAD_NA1_2023!T31</f>
        <v>0</v>
      </c>
      <c r="AE31" s="49">
        <f t="shared" si="5"/>
        <v>102945.19441961189</v>
      </c>
      <c r="AI31" s="50">
        <f t="shared" si="6"/>
        <v>6.8178049063821564E-2</v>
      </c>
    </row>
    <row r="32" spans="1:35" ht="14.45" customHeight="1" x14ac:dyDescent="0.25">
      <c r="A32" s="3">
        <v>500232</v>
      </c>
      <c r="B32" s="1" t="s">
        <v>154</v>
      </c>
      <c r="D32" s="18">
        <v>62502.259830000374</v>
      </c>
      <c r="F32" s="105">
        <v>440079</v>
      </c>
      <c r="G32" s="107">
        <v>14</v>
      </c>
      <c r="H32" s="6">
        <v>205946.39799999792</v>
      </c>
      <c r="I32" s="27">
        <v>27</v>
      </c>
      <c r="L32" s="1">
        <f t="shared" si="16"/>
        <v>205946.39799999792</v>
      </c>
      <c r="M32" s="70">
        <f t="shared" si="0"/>
        <v>-6178.3919399999377</v>
      </c>
      <c r="O32" s="105">
        <v>470145</v>
      </c>
      <c r="P32" s="107">
        <v>14</v>
      </c>
      <c r="Q32" s="1">
        <v>39707.866681199739</v>
      </c>
      <c r="R32" s="27">
        <v>27</v>
      </c>
      <c r="T32" s="34">
        <f t="shared" si="12"/>
        <v>39707.866681199739</v>
      </c>
      <c r="U32" s="34"/>
      <c r="V32" s="26">
        <f t="shared" si="1"/>
        <v>0</v>
      </c>
      <c r="X32" s="3">
        <v>500232</v>
      </c>
      <c r="Y32" s="34">
        <f t="shared" si="3"/>
        <v>375.32984957477851</v>
      </c>
      <c r="Z32" s="34">
        <f t="shared" si="4"/>
        <v>1875.0677949000112</v>
      </c>
      <c r="AA32" s="34"/>
      <c r="AB32" s="8">
        <f>+RAD_NA1_2022!T32</f>
        <v>1344.1346200000082</v>
      </c>
      <c r="AC32" s="8">
        <f>+RAD_NA1_2023!T32</f>
        <v>0</v>
      </c>
      <c r="AE32" s="49">
        <f t="shared" si="5"/>
        <v>3594.5322644747976</v>
      </c>
      <c r="AI32" s="50">
        <f t="shared" si="6"/>
        <v>5.7510436810629735E-2</v>
      </c>
    </row>
    <row r="33" spans="1:35" ht="14.45" customHeight="1" x14ac:dyDescent="0.25">
      <c r="A33" s="3">
        <v>500233</v>
      </c>
      <c r="B33" s="1" t="s">
        <v>155</v>
      </c>
      <c r="D33" s="18">
        <v>159246.98666999556</v>
      </c>
      <c r="F33" s="105">
        <v>470141</v>
      </c>
      <c r="G33" s="107">
        <v>14</v>
      </c>
      <c r="H33" s="6">
        <v>1468456</v>
      </c>
      <c r="I33" s="27">
        <v>28</v>
      </c>
      <c r="L33" s="1">
        <f t="shared" si="16"/>
        <v>1468456</v>
      </c>
      <c r="M33" s="70">
        <f t="shared" si="0"/>
        <v>-44053.68</v>
      </c>
      <c r="O33" s="105">
        <v>470182</v>
      </c>
      <c r="P33" s="107">
        <v>14</v>
      </c>
      <c r="Q33" s="1">
        <v>1060385.6225999999</v>
      </c>
      <c r="R33" s="27">
        <v>28</v>
      </c>
      <c r="T33" s="34">
        <f t="shared" si="12"/>
        <v>1060385.6225999999</v>
      </c>
      <c r="U33" s="34"/>
      <c r="V33" s="26">
        <f t="shared" si="1"/>
        <v>0</v>
      </c>
      <c r="X33" s="3">
        <v>500233</v>
      </c>
      <c r="Y33" s="34">
        <f t="shared" si="3"/>
        <v>-5239.7395613998542</v>
      </c>
      <c r="Z33" s="34">
        <f t="shared" si="4"/>
        <v>0</v>
      </c>
      <c r="AA33" s="34"/>
      <c r="AB33" s="8">
        <f>+RAD_NA1_2022!T33</f>
        <v>3424.6663799999051</v>
      </c>
      <c r="AC33" s="8">
        <f>+RAD_NA1_2023!T33</f>
        <v>0</v>
      </c>
      <c r="AE33" s="49">
        <f t="shared" si="5"/>
        <v>-1815.0731813999491</v>
      </c>
      <c r="AI33" s="50">
        <f t="shared" si="6"/>
        <v>-1.139784946236559E-2</v>
      </c>
    </row>
    <row r="34" spans="1:35" ht="14.45" customHeight="1" x14ac:dyDescent="0.25">
      <c r="A34" s="3">
        <v>500234</v>
      </c>
      <c r="B34" s="1" t="s">
        <v>114</v>
      </c>
      <c r="D34" s="18">
        <v>302051.90999999997</v>
      </c>
      <c r="F34" s="105">
        <v>510299</v>
      </c>
      <c r="G34" s="107">
        <v>14</v>
      </c>
      <c r="H34" s="6">
        <v>659222</v>
      </c>
      <c r="I34" s="27">
        <v>29</v>
      </c>
      <c r="L34" s="1">
        <f t="shared" si="16"/>
        <v>659222</v>
      </c>
      <c r="M34" s="70">
        <f t="shared" si="0"/>
        <v>-19776.66</v>
      </c>
      <c r="O34" s="105">
        <v>510299</v>
      </c>
      <c r="P34" s="107">
        <v>14</v>
      </c>
      <c r="Q34" s="1">
        <v>613076.46</v>
      </c>
      <c r="R34" s="27">
        <v>29</v>
      </c>
      <c r="T34" s="34">
        <f t="shared" si="12"/>
        <v>613076.46</v>
      </c>
      <c r="U34" s="34"/>
      <c r="V34" s="26">
        <f t="shared" si="1"/>
        <v>0</v>
      </c>
      <c r="X34" s="3">
        <v>500234</v>
      </c>
      <c r="Y34" s="34">
        <f t="shared" si="3"/>
        <v>-2736.4896838355257</v>
      </c>
      <c r="Z34" s="34">
        <f t="shared" si="4"/>
        <v>9061.5572999999986</v>
      </c>
      <c r="AA34" s="34"/>
      <c r="AB34" s="8">
        <f>+RAD_NA1_2022!T34</f>
        <v>0</v>
      </c>
      <c r="AC34" s="8">
        <f>+RAD_NA1_2023!T34</f>
        <v>0</v>
      </c>
      <c r="AE34" s="49">
        <f t="shared" si="5"/>
        <v>6325.0676161644733</v>
      </c>
      <c r="AI34" s="50">
        <f t="shared" si="6"/>
        <v>2.0940333124079481E-2</v>
      </c>
    </row>
    <row r="35" spans="1:35" ht="14.45" customHeight="1" x14ac:dyDescent="0.25">
      <c r="A35" s="3">
        <v>510270</v>
      </c>
      <c r="B35" s="1" t="s">
        <v>156</v>
      </c>
      <c r="D35" s="18">
        <v>158776.41317999951</v>
      </c>
      <c r="F35" s="105">
        <v>520333</v>
      </c>
      <c r="G35" s="107">
        <v>14</v>
      </c>
      <c r="H35" s="6">
        <v>354583.00800000003</v>
      </c>
      <c r="I35" s="27">
        <v>30</v>
      </c>
      <c r="L35" s="1">
        <f t="shared" si="16"/>
        <v>354583.00800000003</v>
      </c>
      <c r="M35" s="70">
        <f t="shared" si="0"/>
        <v>-10637.490240000001</v>
      </c>
      <c r="O35" s="106" t="s">
        <v>133</v>
      </c>
      <c r="P35" s="107">
        <v>14</v>
      </c>
      <c r="Q35" s="1">
        <v>93903.364799999996</v>
      </c>
      <c r="R35" s="27">
        <v>30</v>
      </c>
      <c r="T35" s="34">
        <f t="shared" si="12"/>
        <v>93903.364799999996</v>
      </c>
      <c r="U35" s="34"/>
      <c r="V35" s="26">
        <f t="shared" si="1"/>
        <v>0</v>
      </c>
      <c r="X35" s="3">
        <v>510270</v>
      </c>
      <c r="Y35" s="34">
        <f t="shared" si="3"/>
        <v>-5224.2561755999841</v>
      </c>
      <c r="Z35" s="34">
        <f t="shared" si="4"/>
        <v>-4763.2923953999853</v>
      </c>
      <c r="AA35" s="34"/>
      <c r="AB35" s="8">
        <f>+RAD_NA1_2022!T35</f>
        <v>3414.5465199999894</v>
      </c>
      <c r="AC35" s="8">
        <f>+RAD_NA1_2023!T35</f>
        <v>0</v>
      </c>
      <c r="AE35" s="49">
        <f t="shared" si="5"/>
        <v>-6573.0020509999813</v>
      </c>
      <c r="AI35" s="50">
        <f t="shared" si="6"/>
        <v>-4.1397849462365605E-2</v>
      </c>
    </row>
    <row r="36" spans="1:35" ht="14.45" customHeight="1" x14ac:dyDescent="0.25">
      <c r="A36" s="3">
        <v>510271</v>
      </c>
      <c r="B36" s="1" t="s">
        <v>157</v>
      </c>
      <c r="D36" s="18">
        <v>127696.43999999999</v>
      </c>
      <c r="F36" s="105">
        <v>470125</v>
      </c>
      <c r="G36" s="107">
        <v>13</v>
      </c>
      <c r="H36" s="6">
        <v>128985.12</v>
      </c>
      <c r="I36" s="27">
        <v>31</v>
      </c>
      <c r="L36" s="1">
        <f t="shared" si="16"/>
        <v>128985.12</v>
      </c>
      <c r="M36" s="70">
        <f t="shared" si="0"/>
        <v>-3869.5535999999997</v>
      </c>
      <c r="O36" s="105">
        <v>460098</v>
      </c>
      <c r="P36" s="107">
        <v>13</v>
      </c>
      <c r="Q36" s="1">
        <v>259924.48302060101</v>
      </c>
      <c r="R36" s="27">
        <v>31</v>
      </c>
      <c r="T36" s="34">
        <f>+Q36*$T$61</f>
        <v>52655.418779262502</v>
      </c>
      <c r="U36" s="34">
        <f>+Q36-T36</f>
        <v>207269.06424133852</v>
      </c>
      <c r="V36" s="26">
        <f t="shared" si="1"/>
        <v>-6218.0719272401557</v>
      </c>
      <c r="X36" s="3">
        <v>510271</v>
      </c>
      <c r="Y36" s="34">
        <f t="shared" si="3"/>
        <v>-4201.6247999999996</v>
      </c>
      <c r="Z36" s="34">
        <f t="shared" si="4"/>
        <v>-3830.8931999999995</v>
      </c>
      <c r="AA36" s="34"/>
      <c r="AB36" s="8">
        <f>+RAD_NA1_2022!T36</f>
        <v>2746.16</v>
      </c>
      <c r="AC36" s="8">
        <f>+RAD_NA1_2023!T36</f>
        <v>0</v>
      </c>
      <c r="AE36" s="49">
        <f t="shared" si="5"/>
        <v>-5286.3579999999993</v>
      </c>
      <c r="AI36" s="50">
        <f t="shared" si="6"/>
        <v>-4.1397849462365591E-2</v>
      </c>
    </row>
    <row r="37" spans="1:35" ht="14.45" customHeight="1" x14ac:dyDescent="0.25">
      <c r="A37" s="3">
        <v>510299</v>
      </c>
      <c r="B37" s="1" t="s">
        <v>158</v>
      </c>
      <c r="D37" s="18">
        <v>613076.46</v>
      </c>
      <c r="F37" s="105">
        <v>490248</v>
      </c>
      <c r="G37" s="107">
        <v>13</v>
      </c>
      <c r="H37" s="6">
        <v>434374.22</v>
      </c>
      <c r="I37" s="27">
        <v>32</v>
      </c>
      <c r="L37" s="1">
        <f t="shared" si="16"/>
        <v>434374.22</v>
      </c>
      <c r="M37" s="70">
        <f t="shared" si="0"/>
        <v>-13031.226599999998</v>
      </c>
      <c r="O37" s="105">
        <v>460103</v>
      </c>
      <c r="P37" s="107">
        <v>13</v>
      </c>
      <c r="Q37" s="1">
        <v>338979.41921879502</v>
      </c>
      <c r="R37" s="27">
        <v>32</v>
      </c>
      <c r="T37" s="34">
        <f t="shared" ref="T37:T41" si="17">+Q37*$T$61</f>
        <v>68670.342512914256</v>
      </c>
      <c r="U37" s="34">
        <f t="shared" ref="U37:U41" si="18">+Q37-T37</f>
        <v>270309.07670588075</v>
      </c>
      <c r="V37" s="26">
        <f t="shared" si="1"/>
        <v>-8109.2723011764219</v>
      </c>
      <c r="X37" s="3">
        <v>510299</v>
      </c>
      <c r="Y37" s="34">
        <f t="shared" si="3"/>
        <v>-19776.66</v>
      </c>
      <c r="Z37" s="34">
        <f t="shared" si="4"/>
        <v>0</v>
      </c>
      <c r="AA37" s="34"/>
      <c r="AB37" s="8">
        <f>+RAD_NA1_2022!T37</f>
        <v>0</v>
      </c>
      <c r="AC37" s="8">
        <f>+RAD_NA1_2023!T37</f>
        <v>0</v>
      </c>
      <c r="AE37" s="49">
        <f t="shared" si="5"/>
        <v>-19776.66</v>
      </c>
      <c r="AI37" s="50">
        <f t="shared" si="6"/>
        <v>-3.2258064516129031E-2</v>
      </c>
    </row>
    <row r="38" spans="1:35" ht="14.45" customHeight="1" x14ac:dyDescent="0.25">
      <c r="A38" s="3">
        <v>520314</v>
      </c>
      <c r="B38" s="1" t="s">
        <v>159</v>
      </c>
      <c r="D38" s="18">
        <v>506293.86</v>
      </c>
      <c r="F38" s="105">
        <v>470182</v>
      </c>
      <c r="G38" s="107">
        <v>12</v>
      </c>
      <c r="H38" s="6">
        <v>1161331.2</v>
      </c>
      <c r="I38" s="27">
        <v>33</v>
      </c>
      <c r="L38" s="1">
        <f t="shared" si="16"/>
        <v>1161331.2</v>
      </c>
      <c r="M38" s="70">
        <f t="shared" si="0"/>
        <v>-34839.935999999994</v>
      </c>
      <c r="O38" s="105">
        <v>490248</v>
      </c>
      <c r="P38" s="107">
        <v>13</v>
      </c>
      <c r="Q38" s="1">
        <v>412212.26999999996</v>
      </c>
      <c r="R38" s="27">
        <v>33</v>
      </c>
      <c r="T38" s="34">
        <f t="shared" si="17"/>
        <v>83505.830041720692</v>
      </c>
      <c r="U38" s="34">
        <f t="shared" si="18"/>
        <v>328706.43995827925</v>
      </c>
      <c r="V38" s="26">
        <f t="shared" si="1"/>
        <v>-9861.1931987483767</v>
      </c>
      <c r="X38" s="3">
        <v>520314</v>
      </c>
      <c r="Y38" s="34">
        <f t="shared" si="3"/>
        <v>-16005.418799999998</v>
      </c>
      <c r="Z38" s="34">
        <f t="shared" si="4"/>
        <v>-15188.815799999998</v>
      </c>
      <c r="AA38" s="34"/>
      <c r="AB38" s="8">
        <f>+RAD_NA1_2022!T38</f>
        <v>-10888.04</v>
      </c>
      <c r="AC38" s="8">
        <f>+RAD_NA1_2023!T38</f>
        <v>0</v>
      </c>
      <c r="AE38" s="49">
        <f t="shared" si="5"/>
        <v>-42082.274599999997</v>
      </c>
      <c r="AI38" s="50">
        <f t="shared" si="6"/>
        <v>-8.311827956989247E-2</v>
      </c>
    </row>
    <row r="39" spans="1:35" ht="14.45" customHeight="1" x14ac:dyDescent="0.25">
      <c r="A39" s="3">
        <v>520316</v>
      </c>
      <c r="B39" s="1" t="s">
        <v>160</v>
      </c>
      <c r="D39" s="18">
        <v>250809.00579000378</v>
      </c>
      <c r="F39" s="105">
        <v>450069</v>
      </c>
      <c r="G39" s="107">
        <v>11</v>
      </c>
      <c r="H39" s="6">
        <v>304570</v>
      </c>
      <c r="I39" s="27">
        <v>34</v>
      </c>
      <c r="L39" s="1">
        <f t="shared" si="16"/>
        <v>304570</v>
      </c>
      <c r="M39" s="70">
        <f t="shared" si="0"/>
        <v>-9137.1</v>
      </c>
      <c r="O39" s="105">
        <v>500230</v>
      </c>
      <c r="P39" s="107">
        <v>13</v>
      </c>
      <c r="Q39" s="1">
        <v>281482.80705000885</v>
      </c>
      <c r="R39" s="27">
        <v>34</v>
      </c>
      <c r="T39" s="34">
        <f t="shared" si="17"/>
        <v>57022.697177802351</v>
      </c>
      <c r="U39" s="34">
        <f t="shared" si="18"/>
        <v>224460.10987220649</v>
      </c>
      <c r="V39" s="26">
        <f t="shared" si="1"/>
        <v>-6733.8032961661947</v>
      </c>
      <c r="X39" s="3">
        <v>520316</v>
      </c>
      <c r="Y39" s="34">
        <f t="shared" si="3"/>
        <v>-8252.4253518001242</v>
      </c>
      <c r="Z39" s="34">
        <f t="shared" si="4"/>
        <v>7524.2701737001134</v>
      </c>
      <c r="AA39" s="34"/>
      <c r="AB39" s="8">
        <f>+RAD_NA1_2022!T39</f>
        <v>5393.7420600000814</v>
      </c>
      <c r="AC39" s="8">
        <f>+RAD_NA1_2023!T39</f>
        <v>0</v>
      </c>
      <c r="AE39" s="49">
        <f t="shared" si="5"/>
        <v>4665.5868819000707</v>
      </c>
      <c r="AI39" s="50">
        <f t="shared" si="6"/>
        <v>1.8602150537634411E-2</v>
      </c>
    </row>
    <row r="40" spans="1:35" ht="14.45" customHeight="1" x14ac:dyDescent="0.25">
      <c r="A40" s="3">
        <v>520333</v>
      </c>
      <c r="B40" s="1" t="s">
        <v>161</v>
      </c>
      <c r="D40" s="18">
        <v>323296.272</v>
      </c>
      <c r="F40" s="105">
        <v>490241</v>
      </c>
      <c r="G40" s="107">
        <v>11</v>
      </c>
      <c r="H40" s="6">
        <v>300100.54746000521</v>
      </c>
      <c r="I40" s="27">
        <v>35</v>
      </c>
      <c r="L40" s="1">
        <f t="shared" si="16"/>
        <v>300100.54746000521</v>
      </c>
      <c r="M40" s="70">
        <f t="shared" si="0"/>
        <v>-9003.0164238001562</v>
      </c>
      <c r="O40" s="105">
        <v>530365</v>
      </c>
      <c r="P40" s="107">
        <v>13</v>
      </c>
      <c r="Q40" s="1">
        <v>224083.03499999997</v>
      </c>
      <c r="R40" s="27">
        <v>35</v>
      </c>
      <c r="T40" s="34">
        <f t="shared" si="17"/>
        <v>45394.669683032356</v>
      </c>
      <c r="U40" s="34">
        <f t="shared" si="18"/>
        <v>178688.36531696763</v>
      </c>
      <c r="V40" s="26">
        <f t="shared" si="1"/>
        <v>-5360.6509595090283</v>
      </c>
      <c r="X40" s="3">
        <v>520333</v>
      </c>
      <c r="Y40" s="34">
        <f t="shared" si="3"/>
        <v>-10637.490240000001</v>
      </c>
      <c r="Z40" s="34">
        <f t="shared" si="4"/>
        <v>0</v>
      </c>
      <c r="AA40" s="34"/>
      <c r="AB40" s="8">
        <f>+RAD_NA1_2022!T40</f>
        <v>6952.6080000000002</v>
      </c>
      <c r="AC40" s="8">
        <f>+RAD_NA1_2023!T40</f>
        <v>0</v>
      </c>
      <c r="AE40" s="49">
        <f t="shared" si="5"/>
        <v>-3684.8822400000008</v>
      </c>
      <c r="AI40" s="50">
        <f t="shared" si="6"/>
        <v>-1.1397849462365594E-2</v>
      </c>
    </row>
    <row r="41" spans="1:35" ht="14.45" customHeight="1" x14ac:dyDescent="0.25">
      <c r="A41" s="3">
        <v>530355</v>
      </c>
      <c r="B41" s="1" t="s">
        <v>162</v>
      </c>
      <c r="D41" s="18">
        <v>402196.17</v>
      </c>
      <c r="F41" s="106" t="s">
        <v>130</v>
      </c>
      <c r="G41" s="107">
        <v>11</v>
      </c>
      <c r="H41" s="6">
        <v>448835.38583999034</v>
      </c>
      <c r="I41" s="27">
        <v>36</v>
      </c>
      <c r="L41" s="1">
        <f t="shared" si="16"/>
        <v>448835.38583999034</v>
      </c>
      <c r="M41" s="70">
        <f t="shared" si="0"/>
        <v>-13465.06157519971</v>
      </c>
      <c r="O41" s="105">
        <v>530444</v>
      </c>
      <c r="P41" s="107">
        <v>13</v>
      </c>
      <c r="Q41" s="1">
        <v>6335014.8315999992</v>
      </c>
      <c r="R41" s="27">
        <v>36</v>
      </c>
      <c r="T41" s="34">
        <f t="shared" si="17"/>
        <v>1283345.2818844267</v>
      </c>
      <c r="U41" s="34">
        <f t="shared" si="18"/>
        <v>5051669.549715573</v>
      </c>
      <c r="V41" s="26">
        <f t="shared" si="1"/>
        <v>-151550.08649146717</v>
      </c>
      <c r="X41" s="3">
        <v>530355</v>
      </c>
      <c r="Y41" s="34">
        <f>VLOOKUP(X41,$F$6:$M$53,8,FALSE)</f>
        <v>2415.2123202622952</v>
      </c>
      <c r="Z41" s="34">
        <f t="shared" si="4"/>
        <v>7219.7400255144103</v>
      </c>
      <c r="AA41" s="34"/>
      <c r="AB41" s="8">
        <f>+RAD_NA1_2022!T41</f>
        <v>8649.380000000001</v>
      </c>
      <c r="AC41" s="8">
        <f>+RAD_NA1_2023!T41</f>
        <v>0</v>
      </c>
      <c r="AE41" s="49">
        <f t="shared" si="5"/>
        <v>18284.332345776707</v>
      </c>
      <c r="AI41" s="50">
        <f t="shared" si="6"/>
        <v>4.5461229394045968E-2</v>
      </c>
    </row>
    <row r="42" spans="1:35" ht="14.45" customHeight="1" x14ac:dyDescent="0.25">
      <c r="A42" s="3">
        <v>530359</v>
      </c>
      <c r="B42" s="1" t="s">
        <v>163</v>
      </c>
      <c r="D42" s="18">
        <v>215479.2181199948</v>
      </c>
      <c r="F42" s="106" t="s">
        <v>128</v>
      </c>
      <c r="G42" s="107">
        <v>10</v>
      </c>
      <c r="H42" s="6">
        <v>387339.12</v>
      </c>
      <c r="I42" s="27">
        <v>37</v>
      </c>
      <c r="L42" s="1">
        <f t="shared" si="16"/>
        <v>387339.12</v>
      </c>
      <c r="M42" s="70">
        <f t="shared" si="0"/>
        <v>-11620.1736</v>
      </c>
      <c r="O42" s="105">
        <v>470125</v>
      </c>
      <c r="P42" s="107">
        <v>12</v>
      </c>
      <c r="Q42" s="1">
        <v>119956.16159999999</v>
      </c>
      <c r="R42" s="27">
        <v>37</v>
      </c>
      <c r="T42" s="34"/>
      <c r="U42" s="34">
        <f>+Q42</f>
        <v>119956.16159999999</v>
      </c>
      <c r="V42" s="26">
        <f t="shared" si="1"/>
        <v>-3598.6848479999994</v>
      </c>
      <c r="X42" s="3">
        <v>530359</v>
      </c>
      <c r="Y42" s="34">
        <f t="shared" si="3"/>
        <v>-1991.2133335479896</v>
      </c>
      <c r="Z42" s="34">
        <f t="shared" si="4"/>
        <v>0</v>
      </c>
      <c r="AA42" s="34"/>
      <c r="AB42" s="8">
        <f>+RAD_NA1_2022!T42</f>
        <v>4633.9616799998885</v>
      </c>
      <c r="AC42" s="8">
        <f>+RAD_NA1_2023!T42</f>
        <v>0</v>
      </c>
      <c r="AE42" s="49">
        <f t="shared" si="5"/>
        <v>2642.7483464518991</v>
      </c>
      <c r="AI42" s="50">
        <f t="shared" si="6"/>
        <v>1.2264516130647092E-2</v>
      </c>
    </row>
    <row r="43" spans="1:35" ht="14.45" customHeight="1" x14ac:dyDescent="0.25">
      <c r="A43" s="3">
        <v>530365</v>
      </c>
      <c r="B43" s="1" t="s">
        <v>164</v>
      </c>
      <c r="D43" s="18">
        <v>224083.03499999997</v>
      </c>
      <c r="F43" s="105">
        <v>530439</v>
      </c>
      <c r="G43" s="107">
        <v>9</v>
      </c>
      <c r="H43" s="6">
        <v>390471.36221999227</v>
      </c>
      <c r="I43" s="27">
        <v>38</v>
      </c>
      <c r="L43" s="1">
        <f t="shared" si="16"/>
        <v>390471.36221999227</v>
      </c>
      <c r="M43" s="70">
        <f t="shared" si="0"/>
        <v>-11714.140866599768</v>
      </c>
      <c r="O43" s="105">
        <v>520314</v>
      </c>
      <c r="P43" s="107">
        <v>12</v>
      </c>
      <c r="Q43" s="1">
        <v>506293.86</v>
      </c>
      <c r="R43" s="27">
        <v>38</v>
      </c>
      <c r="T43" s="34"/>
      <c r="U43" s="34">
        <f t="shared" ref="U43:U53" si="19">+Q43</f>
        <v>506293.86</v>
      </c>
      <c r="V43" s="26">
        <f t="shared" si="1"/>
        <v>-15188.815799999998</v>
      </c>
      <c r="X43" s="3">
        <v>530365</v>
      </c>
      <c r="Y43" s="34">
        <f t="shared" si="3"/>
        <v>-2070.7200026381438</v>
      </c>
      <c r="Z43" s="34">
        <f t="shared" si="4"/>
        <v>-5360.6509595090283</v>
      </c>
      <c r="AA43" s="34"/>
      <c r="AB43" s="8">
        <f>+RAD_NA1_2022!T43</f>
        <v>4818.99</v>
      </c>
      <c r="AC43" s="8">
        <f>+RAD_NA1_2023!T43</f>
        <v>0</v>
      </c>
      <c r="AE43" s="49">
        <f t="shared" si="5"/>
        <v>-2612.3809621471719</v>
      </c>
      <c r="AI43" s="50">
        <f t="shared" si="6"/>
        <v>-1.1658093448025516E-2</v>
      </c>
    </row>
    <row r="44" spans="1:35" ht="14.45" customHeight="1" x14ac:dyDescent="0.25">
      <c r="A44" s="3">
        <v>530396</v>
      </c>
      <c r="B44" s="1" t="s">
        <v>165</v>
      </c>
      <c r="D44" s="18">
        <v>383352.37607998628</v>
      </c>
      <c r="F44" s="105">
        <v>480181</v>
      </c>
      <c r="G44" s="107">
        <v>8</v>
      </c>
      <c r="H44" s="6">
        <v>230120.16</v>
      </c>
      <c r="I44" s="27">
        <v>39</v>
      </c>
      <c r="L44" s="1">
        <f t="shared" si="16"/>
        <v>230120.16</v>
      </c>
      <c r="M44" s="70">
        <f t="shared" si="0"/>
        <v>-6903.6048000000001</v>
      </c>
      <c r="O44" s="105">
        <v>530439</v>
      </c>
      <c r="P44" s="107">
        <v>12</v>
      </c>
      <c r="Q44" s="1">
        <v>356018.00672999292</v>
      </c>
      <c r="R44" s="27">
        <v>39</v>
      </c>
      <c r="T44" s="34"/>
      <c r="U44" s="34">
        <f t="shared" si="19"/>
        <v>356018.00672999292</v>
      </c>
      <c r="V44" s="26">
        <f t="shared" si="1"/>
        <v>-10680.540201899787</v>
      </c>
      <c r="X44" s="3">
        <v>530396</v>
      </c>
      <c r="Y44" s="34">
        <f t="shared" si="3"/>
        <v>12366.205679999559</v>
      </c>
      <c r="Z44" s="34">
        <f t="shared" si="4"/>
        <v>6881.4789893716043</v>
      </c>
      <c r="AA44" s="34"/>
      <c r="AB44" s="8">
        <f>+RAD_NA1_2022!T44</f>
        <v>0</v>
      </c>
      <c r="AC44" s="8">
        <f>+RAD_NA1_2023!T44</f>
        <v>0</v>
      </c>
      <c r="AE44" s="49">
        <f t="shared" si="5"/>
        <v>19247.684669371163</v>
      </c>
      <c r="AI44" s="50">
        <f t="shared" si="6"/>
        <v>5.0208857099545257E-2</v>
      </c>
    </row>
    <row r="45" spans="1:35" ht="14.45" customHeight="1" x14ac:dyDescent="0.25">
      <c r="A45" s="3">
        <v>530439</v>
      </c>
      <c r="B45" s="1" t="s">
        <v>125</v>
      </c>
      <c r="D45" s="18">
        <v>356018.00672999292</v>
      </c>
      <c r="F45" s="105">
        <v>480212</v>
      </c>
      <c r="G45" s="107">
        <v>8</v>
      </c>
      <c r="H45" s="6">
        <v>4733.82</v>
      </c>
      <c r="I45" s="27">
        <v>40</v>
      </c>
      <c r="L45" s="1">
        <f t="shared" si="16"/>
        <v>4733.82</v>
      </c>
      <c r="M45" s="70">
        <f t="shared" si="0"/>
        <v>-142.01459999999997</v>
      </c>
      <c r="O45" s="106" t="s">
        <v>130</v>
      </c>
      <c r="P45" s="107">
        <v>12</v>
      </c>
      <c r="Q45" s="1">
        <v>401047.61828879139</v>
      </c>
      <c r="R45" s="27">
        <v>40</v>
      </c>
      <c r="T45" s="34"/>
      <c r="U45" s="34">
        <f t="shared" si="19"/>
        <v>401047.61828879139</v>
      </c>
      <c r="V45" s="26">
        <f t="shared" si="1"/>
        <v>-12031.428548663742</v>
      </c>
      <c r="X45" s="3">
        <v>530439</v>
      </c>
      <c r="Y45" s="34">
        <f t="shared" si="3"/>
        <v>-11714.140866599768</v>
      </c>
      <c r="Z45" s="34">
        <f t="shared" si="4"/>
        <v>-10680.540201899787</v>
      </c>
      <c r="AA45" s="34"/>
      <c r="AB45" s="8">
        <f>+RAD_NA1_2022!T45</f>
        <v>7656.3012199998484</v>
      </c>
      <c r="AC45" s="8">
        <f>+RAD_NA1_2023!T45</f>
        <v>0</v>
      </c>
      <c r="AE45" s="49">
        <f t="shared" si="5"/>
        <v>-14738.379848499706</v>
      </c>
      <c r="AI45" s="50">
        <f t="shared" si="6"/>
        <v>-4.1397849462365591E-2</v>
      </c>
    </row>
    <row r="46" spans="1:35" ht="14.45" customHeight="1" x14ac:dyDescent="0.25">
      <c r="A46" s="3">
        <v>530444</v>
      </c>
      <c r="B46" s="1" t="s">
        <v>166</v>
      </c>
      <c r="D46" s="18">
        <v>6454479.3599999994</v>
      </c>
      <c r="F46" s="105">
        <v>510270</v>
      </c>
      <c r="G46" s="107">
        <v>8</v>
      </c>
      <c r="H46" s="6">
        <v>174141.87251999948</v>
      </c>
      <c r="I46" s="27">
        <v>41</v>
      </c>
      <c r="L46" s="1">
        <f t="shared" si="16"/>
        <v>174141.87251999948</v>
      </c>
      <c r="M46" s="70">
        <f t="shared" si="0"/>
        <v>-5224.2561755999841</v>
      </c>
      <c r="O46" s="105">
        <v>440009</v>
      </c>
      <c r="P46" s="107">
        <v>11</v>
      </c>
      <c r="Q46" s="1">
        <v>55108.917000000001</v>
      </c>
      <c r="R46" s="27">
        <v>41</v>
      </c>
      <c r="T46" s="34"/>
      <c r="U46" s="34">
        <f t="shared" si="19"/>
        <v>55108.917000000001</v>
      </c>
      <c r="V46" s="26">
        <f t="shared" si="1"/>
        <v>-1653.2675099999999</v>
      </c>
      <c r="X46" s="3">
        <v>530444</v>
      </c>
      <c r="Y46" s="34">
        <f t="shared" si="3"/>
        <v>36203.847276150118</v>
      </c>
      <c r="Z46" s="34">
        <f t="shared" si="4"/>
        <v>-151550.08649146717</v>
      </c>
      <c r="AA46" s="34"/>
      <c r="AB46" s="8">
        <f>+RAD_NA1_2022!T46</f>
        <v>-111085.34640000001</v>
      </c>
      <c r="AC46" s="8">
        <f>+RAD_NA1_2023!T46</f>
        <v>-119464.52839999998</v>
      </c>
      <c r="AE46" s="49">
        <f t="shared" si="5"/>
        <v>-345896.11401531706</v>
      </c>
      <c r="AI46" s="50">
        <f t="shared" si="6"/>
        <v>-5.3590087553602013E-2</v>
      </c>
    </row>
    <row r="47" spans="1:35" ht="14.45" customHeight="1" x14ac:dyDescent="0.25">
      <c r="A47" s="3" t="s">
        <v>126</v>
      </c>
      <c r="B47" s="1" t="s">
        <v>167</v>
      </c>
      <c r="D47" s="18">
        <v>1098190.6752000088</v>
      </c>
      <c r="F47" s="105">
        <v>520314</v>
      </c>
      <c r="G47" s="107">
        <v>8</v>
      </c>
      <c r="H47" s="6">
        <v>533513.96</v>
      </c>
      <c r="I47" s="27">
        <v>42</v>
      </c>
      <c r="L47" s="1">
        <f t="shared" si="16"/>
        <v>533513.96</v>
      </c>
      <c r="M47" s="70">
        <f t="shared" si="0"/>
        <v>-16005.418799999998</v>
      </c>
      <c r="O47" s="105">
        <v>510271</v>
      </c>
      <c r="P47" s="107">
        <v>10</v>
      </c>
      <c r="Q47" s="1">
        <v>127696.43999999999</v>
      </c>
      <c r="R47" s="27">
        <v>42</v>
      </c>
      <c r="T47" s="34"/>
      <c r="U47" s="34">
        <f t="shared" si="19"/>
        <v>127696.43999999999</v>
      </c>
      <c r="V47" s="26">
        <f t="shared" si="1"/>
        <v>-3830.8931999999995</v>
      </c>
      <c r="X47" s="3" t="s">
        <v>126</v>
      </c>
      <c r="Y47" s="34">
        <f t="shared" si="3"/>
        <v>-9445.5613233243748</v>
      </c>
      <c r="Z47" s="34">
        <f t="shared" si="4"/>
        <v>19319.125167006026</v>
      </c>
      <c r="AA47" s="34"/>
      <c r="AB47" s="8">
        <f>+RAD_NA1_2022!T47</f>
        <v>-22878.972400000184</v>
      </c>
      <c r="AC47" s="8">
        <f>+RAD_NA1_2023!T47</f>
        <v>-21963.813504000176</v>
      </c>
      <c r="AE47" s="49">
        <f t="shared" si="5"/>
        <v>-34969.222060318709</v>
      </c>
      <c r="AI47" s="50">
        <f t="shared" si="6"/>
        <v>-3.1842577841912481E-2</v>
      </c>
    </row>
    <row r="48" spans="1:35" ht="14.45" customHeight="1" x14ac:dyDescent="0.25">
      <c r="A48" s="3" t="s">
        <v>128</v>
      </c>
      <c r="B48" s="1" t="s">
        <v>168</v>
      </c>
      <c r="D48" s="18">
        <v>367576.92</v>
      </c>
      <c r="F48" s="105">
        <v>440009</v>
      </c>
      <c r="G48" s="107">
        <v>7</v>
      </c>
      <c r="H48" s="6">
        <v>59256.9</v>
      </c>
      <c r="I48" s="27">
        <v>43</v>
      </c>
      <c r="L48" s="1">
        <f t="shared" si="16"/>
        <v>59256.9</v>
      </c>
      <c r="M48" s="70">
        <f t="shared" si="0"/>
        <v>-1777.7069999999999</v>
      </c>
      <c r="O48" s="106" t="s">
        <v>128</v>
      </c>
      <c r="P48" s="107">
        <v>10</v>
      </c>
      <c r="Q48" s="1">
        <v>360225.38159999996</v>
      </c>
      <c r="R48" s="27">
        <v>43</v>
      </c>
      <c r="T48" s="34"/>
      <c r="U48" s="34">
        <f t="shared" si="19"/>
        <v>360225.38159999996</v>
      </c>
      <c r="V48" s="26">
        <f t="shared" si="1"/>
        <v>-10806.761447999999</v>
      </c>
      <c r="X48" s="3" t="s">
        <v>128</v>
      </c>
      <c r="Y48" s="34">
        <f t="shared" si="3"/>
        <v>-11620.1736</v>
      </c>
      <c r="Z48" s="34">
        <f t="shared" si="4"/>
        <v>-10806.761447999999</v>
      </c>
      <c r="AA48" s="34"/>
      <c r="AB48" s="8">
        <f>+RAD_NA1_2022!T48</f>
        <v>-7904.88</v>
      </c>
      <c r="AC48" s="8">
        <f>+RAD_NA1_2023!T48</f>
        <v>-7351.5383999999995</v>
      </c>
      <c r="AE48" s="49">
        <f t="shared" si="5"/>
        <v>-37683.353448000002</v>
      </c>
      <c r="AI48" s="50">
        <f t="shared" si="6"/>
        <v>-0.10251827956989248</v>
      </c>
    </row>
    <row r="49" spans="1:35" ht="14.45" customHeight="1" x14ac:dyDescent="0.25">
      <c r="A49" s="3" t="s">
        <v>130</v>
      </c>
      <c r="B49" s="1" t="s">
        <v>169</v>
      </c>
      <c r="D49" s="18">
        <v>409232.2635599912</v>
      </c>
      <c r="F49" s="105">
        <v>440011</v>
      </c>
      <c r="G49" s="107">
        <v>7</v>
      </c>
      <c r="H49" s="6">
        <v>92190.66</v>
      </c>
      <c r="I49" s="27">
        <v>44</v>
      </c>
      <c r="L49" s="1">
        <f t="shared" si="16"/>
        <v>92190.66</v>
      </c>
      <c r="M49" s="70">
        <f t="shared" si="0"/>
        <v>-2765.7197999999999</v>
      </c>
      <c r="O49" s="105">
        <v>480181</v>
      </c>
      <c r="P49" s="107">
        <v>9</v>
      </c>
      <c r="Q49" s="1">
        <v>209815.43999999997</v>
      </c>
      <c r="R49" s="27">
        <v>44</v>
      </c>
      <c r="T49" s="34"/>
      <c r="U49" s="34">
        <f t="shared" si="19"/>
        <v>209815.43999999997</v>
      </c>
      <c r="V49" s="26">
        <f t="shared" si="1"/>
        <v>-6294.4631999999992</v>
      </c>
      <c r="X49" s="3" t="s">
        <v>130</v>
      </c>
      <c r="Y49" s="34">
        <f t="shared" si="3"/>
        <v>-13465.06157519971</v>
      </c>
      <c r="Z49" s="34">
        <f t="shared" si="4"/>
        <v>-12031.428548663742</v>
      </c>
      <c r="AA49" s="34"/>
      <c r="AB49" s="8">
        <f>+RAD_NA1_2022!T49</f>
        <v>8800.6938399998107</v>
      </c>
      <c r="AC49" s="8">
        <f>+RAD_NA1_2023!T49</f>
        <v>-8184.6452711998245</v>
      </c>
      <c r="AE49" s="49">
        <f t="shared" si="5"/>
        <v>-24880.441555063466</v>
      </c>
      <c r="AI49" s="50">
        <f t="shared" si="6"/>
        <v>-6.0797849462365591E-2</v>
      </c>
    </row>
    <row r="50" spans="1:35" ht="14.45" customHeight="1" x14ac:dyDescent="0.25">
      <c r="A50" s="3" t="s">
        <v>131</v>
      </c>
      <c r="B50" s="1" t="s">
        <v>132</v>
      </c>
      <c r="D50" s="18">
        <v>780703.88871002977</v>
      </c>
      <c r="F50" s="105">
        <v>440076</v>
      </c>
      <c r="G50" s="107">
        <v>6</v>
      </c>
      <c r="H50" s="6">
        <v>374833.74936000124</v>
      </c>
      <c r="I50" s="27">
        <v>45</v>
      </c>
      <c r="L50" s="1">
        <f t="shared" si="16"/>
        <v>374833.74936000124</v>
      </c>
      <c r="M50" s="70">
        <f t="shared" si="0"/>
        <v>-11245.012480800036</v>
      </c>
      <c r="O50" s="105">
        <v>480212</v>
      </c>
      <c r="P50" s="107">
        <v>8</v>
      </c>
      <c r="Q50" s="1">
        <v>4316.13</v>
      </c>
      <c r="R50" s="27">
        <v>45</v>
      </c>
      <c r="T50" s="34"/>
      <c r="U50" s="34">
        <f t="shared" si="19"/>
        <v>4316.13</v>
      </c>
      <c r="V50" s="26">
        <f t="shared" si="1"/>
        <v>-129.48390000000001</v>
      </c>
      <c r="X50" s="3" t="s">
        <v>131</v>
      </c>
      <c r="Y50" s="34">
        <f t="shared" si="3"/>
        <v>-7214.3755036575694</v>
      </c>
      <c r="Z50" s="34">
        <f t="shared" si="4"/>
        <v>22952.694328074875</v>
      </c>
      <c r="AA50" s="34"/>
      <c r="AB50" s="8">
        <f>+RAD_NA1_2022!T50</f>
        <v>16789.33094000064</v>
      </c>
      <c r="AC50" s="8">
        <f>+RAD_NA1_2023!T50</f>
        <v>-15614.077774200596</v>
      </c>
      <c r="AE50" s="49">
        <f t="shared" si="5"/>
        <v>16913.571990217351</v>
      </c>
      <c r="AI50" s="50">
        <f t="shared" si="6"/>
        <v>2.1664516130647092E-2</v>
      </c>
    </row>
    <row r="51" spans="1:35" ht="14.45" customHeight="1" x14ac:dyDescent="0.25">
      <c r="A51" s="7" t="s">
        <v>135</v>
      </c>
      <c r="B51" s="34" t="s">
        <v>136</v>
      </c>
      <c r="D51" s="18">
        <v>95819.76</v>
      </c>
      <c r="F51" s="105">
        <v>440073</v>
      </c>
      <c r="G51" s="107">
        <v>5</v>
      </c>
      <c r="H51" s="6">
        <v>40668.361860000114</v>
      </c>
      <c r="I51" s="27">
        <v>46</v>
      </c>
      <c r="L51" s="1">
        <f t="shared" si="16"/>
        <v>40668.361860000114</v>
      </c>
      <c r="M51" s="70">
        <f t="shared" si="0"/>
        <v>-1220.0508558000033</v>
      </c>
      <c r="O51" s="105">
        <v>510270</v>
      </c>
      <c r="P51" s="107">
        <v>8</v>
      </c>
      <c r="Q51" s="1">
        <v>158776.41317999951</v>
      </c>
      <c r="R51" s="27">
        <v>46</v>
      </c>
      <c r="T51" s="34"/>
      <c r="U51" s="34">
        <f t="shared" si="19"/>
        <v>158776.41317999951</v>
      </c>
      <c r="V51" s="26">
        <f t="shared" si="1"/>
        <v>-4763.2923953999853</v>
      </c>
      <c r="X51" s="7" t="s">
        <v>135</v>
      </c>
      <c r="Y51" s="34">
        <f t="shared" si="3"/>
        <v>0</v>
      </c>
      <c r="Z51" s="34">
        <f t="shared" si="4"/>
        <v>-2817.1009439999998</v>
      </c>
      <c r="AA51" s="34"/>
      <c r="AB51" s="8">
        <f>+RAD_NA1_2022!T51</f>
        <v>0</v>
      </c>
      <c r="AC51" s="8">
        <f>+RAD_NA1_2023!T51</f>
        <v>-1916.3951999999999</v>
      </c>
      <c r="AE51" s="49">
        <f t="shared" si="5"/>
        <v>-4733.4961439999997</v>
      </c>
      <c r="AI51" s="50">
        <f t="shared" si="6"/>
        <v>-4.9399999999999999E-2</v>
      </c>
    </row>
    <row r="52" spans="1:35" ht="14.45" customHeight="1" x14ac:dyDescent="0.25">
      <c r="A52" s="7" t="s">
        <v>133</v>
      </c>
      <c r="B52" s="94" t="s">
        <v>170</v>
      </c>
      <c r="D52" s="18">
        <v>95819.76</v>
      </c>
      <c r="F52" s="105">
        <v>510271</v>
      </c>
      <c r="G52" s="107">
        <v>5</v>
      </c>
      <c r="H52" s="6">
        <v>140054.16</v>
      </c>
      <c r="I52" s="27">
        <v>47</v>
      </c>
      <c r="L52" s="1">
        <f>+H52</f>
        <v>140054.16</v>
      </c>
      <c r="M52" s="70">
        <f t="shared" si="0"/>
        <v>-4201.6247999999996</v>
      </c>
      <c r="O52" s="106" t="s">
        <v>135</v>
      </c>
      <c r="P52" s="107">
        <v>6</v>
      </c>
      <c r="Q52" s="1">
        <v>93903.364799999996</v>
      </c>
      <c r="R52" s="27">
        <v>47</v>
      </c>
      <c r="T52" s="34"/>
      <c r="U52" s="34">
        <f t="shared" si="19"/>
        <v>93903.364799999996</v>
      </c>
      <c r="V52" s="26">
        <f t="shared" si="1"/>
        <v>-2817.1009439999998</v>
      </c>
      <c r="X52" s="7" t="s">
        <v>133</v>
      </c>
      <c r="Y52" s="34">
        <f t="shared" si="3"/>
        <v>0</v>
      </c>
      <c r="Z52" s="34">
        <f t="shared" si="4"/>
        <v>0</v>
      </c>
      <c r="AA52" s="34"/>
      <c r="AB52" s="8">
        <f>+RAD_NA1_2022!T52</f>
        <v>0</v>
      </c>
      <c r="AC52" s="8">
        <f>+RAD_NA1_2023!T52</f>
        <v>-1916.3951999999999</v>
      </c>
      <c r="AE52" s="49">
        <f t="shared" si="5"/>
        <v>-1916.3951999999999</v>
      </c>
      <c r="AI52" s="50">
        <f t="shared" si="6"/>
        <v>-0.02</v>
      </c>
    </row>
    <row r="53" spans="1:35" ht="14.45" customHeight="1" x14ac:dyDescent="0.25">
      <c r="A53" s="7" t="s">
        <v>137</v>
      </c>
      <c r="B53" s="34" t="s">
        <v>138</v>
      </c>
      <c r="C53" s="34"/>
      <c r="D53" s="130">
        <v>103032</v>
      </c>
      <c r="F53" s="105">
        <v>450046</v>
      </c>
      <c r="G53" s="107">
        <v>4</v>
      </c>
      <c r="H53" s="6">
        <v>175320.84399999821</v>
      </c>
      <c r="I53" s="27">
        <v>48</v>
      </c>
      <c r="L53" s="1">
        <f>+H53</f>
        <v>175320.84399999821</v>
      </c>
      <c r="M53" s="70">
        <f t="shared" si="0"/>
        <v>-5259.6253199999464</v>
      </c>
      <c r="O53" s="105">
        <v>450046</v>
      </c>
      <c r="P53" s="107">
        <v>3</v>
      </c>
      <c r="Q53" s="1">
        <v>166309.35261839829</v>
      </c>
      <c r="R53" s="27">
        <v>48</v>
      </c>
      <c r="T53" s="34"/>
      <c r="U53" s="34">
        <f t="shared" si="19"/>
        <v>166309.35261839829</v>
      </c>
      <c r="V53" s="26">
        <f t="shared" si="1"/>
        <v>-4989.2805785519486</v>
      </c>
      <c r="X53" s="7" t="s">
        <v>137</v>
      </c>
      <c r="Y53" s="34">
        <f t="shared" si="3"/>
        <v>0</v>
      </c>
      <c r="Z53" s="34">
        <f t="shared" si="4"/>
        <v>0</v>
      </c>
      <c r="AA53" s="34"/>
      <c r="AB53" s="8">
        <f>+RAD_NA1_2022!T53</f>
        <v>0</v>
      </c>
      <c r="AC53" s="8">
        <f>+RAD_NA1_2023!T53</f>
        <v>0</v>
      </c>
      <c r="AE53" s="49">
        <f t="shared" si="5"/>
        <v>0</v>
      </c>
      <c r="AI53" s="50">
        <f t="shared" si="6"/>
        <v>0</v>
      </c>
    </row>
    <row r="54" spans="1:35" ht="14.45" customHeight="1" x14ac:dyDescent="0.25">
      <c r="B54" s="23" t="s">
        <v>5</v>
      </c>
      <c r="D54" s="1">
        <f>SUM(D6:D53)</f>
        <v>26461709.074800305</v>
      </c>
      <c r="F54" s="20"/>
      <c r="G54" s="20"/>
      <c r="H54" s="20">
        <f>SUM(H6:H53)</f>
        <v>27902199.023800328</v>
      </c>
      <c r="I54" s="27"/>
      <c r="J54" s="108">
        <f>SUM(J6:J40)</f>
        <v>9300733.0079334434</v>
      </c>
      <c r="K54" s="20">
        <f>SUM(K11:K53)</f>
        <v>9300733.0079334434</v>
      </c>
      <c r="L54" s="20">
        <f>SUM(L25:L53)</f>
        <v>9300733.0079334397</v>
      </c>
      <c r="M54" s="20">
        <f>SUM(M6:M53)</f>
        <v>1.7826096154749393E-10</v>
      </c>
      <c r="O54" s="20"/>
      <c r="P54" s="20"/>
      <c r="Q54" s="20">
        <f>SUM(Q6:Q53)</f>
        <v>26461709.074882317</v>
      </c>
      <c r="R54" s="20"/>
      <c r="S54" s="20">
        <f>SUM(S6:S40)</f>
        <v>8820569.6916274372</v>
      </c>
      <c r="T54" s="20">
        <f>SUM(T15:T53)</f>
        <v>8820569.6916274391</v>
      </c>
      <c r="U54" s="20">
        <f>SUM(U36:U53)</f>
        <v>8820569.6916274298</v>
      </c>
      <c r="V54" s="20">
        <f>SUM(V6:V53)</f>
        <v>4.3837644625455141E-10</v>
      </c>
      <c r="X54" s="4"/>
      <c r="Y54" s="4">
        <f>SUM(Y6:Y53)</f>
        <v>1.5825207810848951E-10</v>
      </c>
      <c r="Z54" s="4">
        <f>SUM(Z6:Z53)</f>
        <v>3.4742697607725859E-10</v>
      </c>
      <c r="AA54" s="34"/>
      <c r="AB54" s="78">
        <f>SUM(AB6:AB53)</f>
        <v>-2.0000142103526741E-4</v>
      </c>
      <c r="AC54" s="78">
        <f>SUM(AC6:AC53)</f>
        <v>8.2001339251291938E-5</v>
      </c>
      <c r="AE54" s="49">
        <f>SUM(AE6:AE53)</f>
        <v>-1.1799949788837694E-4</v>
      </c>
      <c r="AI54" s="50">
        <f t="shared" si="6"/>
        <v>-4.4592545989687718E-12</v>
      </c>
    </row>
    <row r="55" spans="1:35" ht="16.899999999999999" customHeight="1" x14ac:dyDescent="0.25">
      <c r="F55" s="17" t="s">
        <v>4</v>
      </c>
      <c r="G55" s="17"/>
      <c r="H55" s="16">
        <f>H54/3</f>
        <v>9300733.0079334434</v>
      </c>
      <c r="I55" s="27"/>
      <c r="J55" s="111">
        <f>$H55-J54</f>
        <v>0</v>
      </c>
      <c r="K55" s="111">
        <f>$H55-K54</f>
        <v>0</v>
      </c>
      <c r="L55" s="111">
        <f>$H55-L54</f>
        <v>0</v>
      </c>
      <c r="O55" s="17" t="s">
        <v>4</v>
      </c>
      <c r="P55" s="17"/>
      <c r="Q55" s="16">
        <f>Q54/3</f>
        <v>8820569.6916274391</v>
      </c>
      <c r="R55" s="15"/>
      <c r="S55" s="92">
        <f>$Q55-S54</f>
        <v>0</v>
      </c>
      <c r="T55" s="92">
        <f>$Q55-T54</f>
        <v>0</v>
      </c>
      <c r="U55" s="14">
        <f>$Q55-U54</f>
        <v>0</v>
      </c>
    </row>
    <row r="56" spans="1:35" ht="16.899999999999999" customHeight="1" x14ac:dyDescent="0.25"/>
    <row r="57" spans="1:35" ht="16.899999999999999" customHeight="1" x14ac:dyDescent="0.25">
      <c r="F57" s="123" t="s">
        <v>3</v>
      </c>
      <c r="G57" s="124"/>
      <c r="H57" s="124"/>
      <c r="I57" s="125"/>
      <c r="O57" s="112" t="s">
        <v>3</v>
      </c>
      <c r="P57" s="113"/>
      <c r="Q57" s="113"/>
      <c r="R57" s="114"/>
    </row>
    <row r="58" spans="1:35" ht="37.9" customHeight="1" x14ac:dyDescent="0.25">
      <c r="F58" s="71" t="s">
        <v>2</v>
      </c>
      <c r="G58" s="72" t="s">
        <v>39</v>
      </c>
      <c r="H58" s="73" t="s">
        <v>62</v>
      </c>
      <c r="I58" s="71" t="s">
        <v>0</v>
      </c>
      <c r="O58" s="71" t="s">
        <v>2</v>
      </c>
      <c r="P58" s="72" t="s">
        <v>39</v>
      </c>
      <c r="Q58" s="73" t="s">
        <v>63</v>
      </c>
      <c r="R58" s="71" t="s">
        <v>0</v>
      </c>
    </row>
    <row r="59" spans="1:35" x14ac:dyDescent="0.25">
      <c r="C59" s="126"/>
      <c r="D59" s="127"/>
      <c r="E59" s="101"/>
      <c r="F59" s="105">
        <v>460133</v>
      </c>
      <c r="G59" s="107">
        <v>20</v>
      </c>
      <c r="H59" s="6">
        <f>+VLOOKUP(F59,RAD_NA1_2022!A:U,21,0)</f>
        <v>2208657.3679999202</v>
      </c>
      <c r="I59" s="5">
        <v>1</v>
      </c>
      <c r="J59" s="1">
        <v>1575723.1088731857</v>
      </c>
      <c r="K59" s="14">
        <v>2002267.7329865824</v>
      </c>
      <c r="L59" s="126"/>
      <c r="M59" s="127"/>
      <c r="N59" s="1">
        <v>2162717.2947455216</v>
      </c>
      <c r="O59" s="105">
        <v>460133</v>
      </c>
      <c r="P59" s="109">
        <v>21</v>
      </c>
      <c r="Q59" s="6">
        <f>+VLOOKUP(O59,RAD_NA1_2023!A:U,21,0)</f>
        <v>2162717.2947455216</v>
      </c>
      <c r="R59" s="5">
        <v>1</v>
      </c>
      <c r="S59" s="1">
        <v>1516560.0123722954</v>
      </c>
      <c r="T59" s="121">
        <v>1590594.2400791589</v>
      </c>
      <c r="AC59" s="13"/>
    </row>
    <row r="60" spans="1:35" x14ac:dyDescent="0.25">
      <c r="C60" s="126"/>
      <c r="D60" s="127"/>
      <c r="E60" s="101"/>
      <c r="F60" s="105">
        <v>460104</v>
      </c>
      <c r="G60" s="107">
        <v>19</v>
      </c>
      <c r="H60" s="6">
        <f>+VLOOKUP(F60,RAD_NA1_2022!A:U,21,0)</f>
        <v>751695.76565999479</v>
      </c>
      <c r="I60" s="5">
        <v>2</v>
      </c>
      <c r="J60" s="1">
        <f>SUM(H14:H21)</f>
        <v>8633780.3838200457</v>
      </c>
      <c r="K60" s="92">
        <f>SUM(H25:H29)</f>
        <v>2784213.0612200359</v>
      </c>
      <c r="L60" s="126"/>
      <c r="M60" s="127"/>
      <c r="N60" s="1">
        <v>91353.025799999989</v>
      </c>
      <c r="O60" s="105">
        <v>450070</v>
      </c>
      <c r="P60" s="109">
        <v>19</v>
      </c>
      <c r="Q60" s="6">
        <f>+VLOOKUP(O60,RAD_NA1_2023!A:U,21,0)</f>
        <v>91353.025799999989</v>
      </c>
      <c r="R60" s="5">
        <v>2</v>
      </c>
      <c r="S60" s="1">
        <f>SUM(Q15:Q19)</f>
        <v>2534528.7769187931</v>
      </c>
      <c r="T60" s="121">
        <f>SUM(Q36:Q41)</f>
        <v>7851696.8458894044</v>
      </c>
    </row>
    <row r="61" spans="1:35" x14ac:dyDescent="0.25">
      <c r="C61" s="126"/>
      <c r="D61" s="127"/>
      <c r="E61" s="101"/>
      <c r="F61" s="105">
        <v>500231</v>
      </c>
      <c r="G61" s="107">
        <v>19</v>
      </c>
      <c r="H61" s="6">
        <f>+VLOOKUP(F61,RAD_NA1_2022!A:U,21,0)</f>
        <v>1583017.0454002023</v>
      </c>
      <c r="I61" s="5">
        <v>3</v>
      </c>
      <c r="J61" s="119">
        <f>+J59/J60</f>
        <v>0.18250673966946582</v>
      </c>
      <c r="K61" s="48">
        <f>+K59/K60</f>
        <v>0.71915032684646385</v>
      </c>
      <c r="L61" s="126"/>
      <c r="M61" s="127"/>
      <c r="N61" s="1">
        <v>1437912.1152000001</v>
      </c>
      <c r="O61" s="105">
        <v>470141</v>
      </c>
      <c r="P61" s="110">
        <v>19</v>
      </c>
      <c r="Q61" s="6">
        <f>+VLOOKUP(O61,RAD_NA1_2023!A:U,21,0)</f>
        <v>1437912.1152000001</v>
      </c>
      <c r="R61" s="5">
        <v>3</v>
      </c>
      <c r="S61" s="120">
        <f>+S59/S60</f>
        <v>0.59835975278054077</v>
      </c>
      <c r="T61" s="122">
        <f>+T59/T60</f>
        <v>0.20257968071091309</v>
      </c>
    </row>
    <row r="62" spans="1:35" x14ac:dyDescent="0.25">
      <c r="C62" s="127"/>
      <c r="D62" s="127"/>
      <c r="E62" s="101"/>
      <c r="F62" s="106">
        <v>440018</v>
      </c>
      <c r="G62" s="107">
        <v>18</v>
      </c>
      <c r="H62" s="6">
        <f>+VLOOKUP(F62,RAD_NA1_2022!A:U,21,0)</f>
        <v>709616.71800004377</v>
      </c>
      <c r="I62" s="5">
        <v>4</v>
      </c>
      <c r="L62" s="126"/>
      <c r="M62" s="127"/>
      <c r="N62" s="1">
        <v>250809.00579000378</v>
      </c>
      <c r="O62" s="105">
        <v>520316</v>
      </c>
      <c r="P62" s="109">
        <v>19</v>
      </c>
      <c r="Q62" s="6">
        <f>+VLOOKUP(O62,RAD_NA1_2023!A:U,21,0)</f>
        <v>250809.00579000378</v>
      </c>
      <c r="R62" s="5">
        <v>4</v>
      </c>
    </row>
    <row r="63" spans="1:35" x14ac:dyDescent="0.25">
      <c r="C63" s="126"/>
      <c r="D63" s="127"/>
      <c r="E63" s="101"/>
      <c r="F63" s="105">
        <v>440075</v>
      </c>
      <c r="G63" s="107">
        <v>18</v>
      </c>
      <c r="H63" s="6">
        <f>+VLOOKUP(F63,RAD_NA1_2022!A:U,21,0)</f>
        <v>1195239.433500116</v>
      </c>
      <c r="I63" s="5">
        <v>5</v>
      </c>
      <c r="K63" s="93"/>
      <c r="L63" s="126"/>
      <c r="M63" s="127"/>
      <c r="N63" s="1">
        <v>721627.93503359507</v>
      </c>
      <c r="O63" s="105">
        <v>460104</v>
      </c>
      <c r="P63" s="109">
        <v>17</v>
      </c>
      <c r="Q63" s="6">
        <f>+VLOOKUP(O63,RAD_NA1_2023!A:U,21,0)</f>
        <v>721627.93503359507</v>
      </c>
      <c r="R63" s="5">
        <v>5</v>
      </c>
    </row>
    <row r="64" spans="1:35" x14ac:dyDescent="0.25">
      <c r="C64" s="126"/>
      <c r="D64" s="127"/>
      <c r="E64" s="101"/>
      <c r="F64" s="105">
        <v>460103</v>
      </c>
      <c r="G64" s="107">
        <v>18</v>
      </c>
      <c r="H64" s="6">
        <f>+VLOOKUP(F64,RAD_NA1_2022!A:U,21,0)</f>
        <v>357347.05799999478</v>
      </c>
      <c r="I64" s="5">
        <v>6</v>
      </c>
      <c r="K64" s="127"/>
      <c r="L64" s="126"/>
      <c r="M64" s="127"/>
      <c r="N64" s="1">
        <v>1509946.321920194</v>
      </c>
      <c r="O64" s="105">
        <v>500231</v>
      </c>
      <c r="P64" s="109">
        <v>17</v>
      </c>
      <c r="Q64" s="6">
        <f>+VLOOKUP(O64,RAD_NA1_2023!A:U,21,0)</f>
        <v>1509946.321920194</v>
      </c>
      <c r="R64" s="5">
        <v>6</v>
      </c>
    </row>
    <row r="65" spans="3:18" x14ac:dyDescent="0.25">
      <c r="C65" s="126"/>
      <c r="D65" s="127"/>
      <c r="E65" s="101"/>
      <c r="F65" s="105">
        <v>490246</v>
      </c>
      <c r="G65" s="107">
        <v>18</v>
      </c>
      <c r="H65" s="6">
        <f>+VLOOKUP(F65,RAD_NA1_2022!A:U,21,0)</f>
        <v>507229.65450000035</v>
      </c>
      <c r="I65" s="5">
        <v>7</v>
      </c>
      <c r="K65" s="127"/>
      <c r="L65" s="126"/>
      <c r="M65" s="127"/>
      <c r="N65" s="1">
        <v>62502.259830000374</v>
      </c>
      <c r="O65" s="105">
        <v>500232</v>
      </c>
      <c r="P65" s="109">
        <v>17</v>
      </c>
      <c r="Q65" s="6">
        <f>+VLOOKUP(O65,RAD_NA1_2023!A:U,21,0)</f>
        <v>62502.259830000374</v>
      </c>
      <c r="R65" s="5">
        <v>7</v>
      </c>
    </row>
    <row r="66" spans="3:18" x14ac:dyDescent="0.25">
      <c r="C66" s="126"/>
      <c r="D66" s="127"/>
      <c r="E66" s="101"/>
      <c r="F66" s="105">
        <v>530396</v>
      </c>
      <c r="G66" s="107">
        <v>18</v>
      </c>
      <c r="H66" s="6">
        <f>+VLOOKUP(F66,RAD_NA1_2022!A:U,21,0)</f>
        <v>412206.8559999853</v>
      </c>
      <c r="I66" s="5">
        <v>8</v>
      </c>
      <c r="K66" s="127"/>
      <c r="L66" s="126"/>
      <c r="M66" s="127"/>
      <c r="N66" s="1">
        <v>302051.90999999997</v>
      </c>
      <c r="O66" s="105">
        <v>500234</v>
      </c>
      <c r="P66" s="109">
        <v>17</v>
      </c>
      <c r="Q66" s="6">
        <f>+VLOOKUP(O66,RAD_NA1_2023!A:U,21,0)</f>
        <v>302051.90999999997</v>
      </c>
      <c r="R66" s="5">
        <v>8</v>
      </c>
    </row>
    <row r="67" spans="3:18" x14ac:dyDescent="0.25">
      <c r="C67" s="126"/>
      <c r="D67" s="127"/>
      <c r="E67" s="101"/>
      <c r="F67" s="105">
        <v>450070</v>
      </c>
      <c r="G67" s="107">
        <v>17</v>
      </c>
      <c r="H67" s="6">
        <f>+VLOOKUP(F67,RAD_NA1_2022!A:U,21,0)</f>
        <v>98229.06</v>
      </c>
      <c r="I67" s="5">
        <v>9</v>
      </c>
      <c r="L67" s="127"/>
      <c r="M67" s="127"/>
      <c r="N67" s="1">
        <v>765089.81093582918</v>
      </c>
      <c r="O67" s="106" t="s">
        <v>131</v>
      </c>
      <c r="P67" s="2">
        <v>17</v>
      </c>
      <c r="Q67" s="6">
        <f>+VLOOKUP(O67,RAD_NA1_2023!A:U,21,0)</f>
        <v>765089.81093582918</v>
      </c>
      <c r="R67" s="5">
        <v>9</v>
      </c>
    </row>
    <row r="68" spans="3:18" x14ac:dyDescent="0.25">
      <c r="C68" s="126"/>
      <c r="D68" s="127"/>
      <c r="E68" s="101"/>
      <c r="F68" s="105">
        <v>450072</v>
      </c>
      <c r="G68" s="107">
        <v>17</v>
      </c>
      <c r="H68" s="6">
        <f>+VLOOKUP(F68,RAD_NA1_2022!A:U,21,0)</f>
        <v>782643.02364003542</v>
      </c>
      <c r="I68" s="5">
        <v>10</v>
      </c>
      <c r="L68" s="126"/>
      <c r="M68" s="127"/>
      <c r="N68" s="1">
        <v>195360.75314279803</v>
      </c>
      <c r="O68" s="105">
        <v>440079</v>
      </c>
      <c r="P68" s="109">
        <v>16</v>
      </c>
      <c r="Q68" s="6">
        <f>+VLOOKUP(O68,RAD_NA1_2023!A:U,21,0)</f>
        <v>195360.75314279803</v>
      </c>
      <c r="R68" s="5">
        <v>10</v>
      </c>
    </row>
    <row r="69" spans="3:18" x14ac:dyDescent="0.25">
      <c r="C69" s="126"/>
      <c r="D69" s="127"/>
      <c r="E69" s="101"/>
      <c r="F69" s="105">
        <v>460098</v>
      </c>
      <c r="G69" s="107">
        <v>17</v>
      </c>
      <c r="H69" s="6">
        <f>+VLOOKUP(F69,RAD_NA1_2022!A:U,21,0)</f>
        <v>279488.69142000109</v>
      </c>
      <c r="I69" s="5">
        <v>11</v>
      </c>
      <c r="L69" s="126"/>
      <c r="M69" s="127"/>
      <c r="N69" s="1">
        <v>477392.61600000027</v>
      </c>
      <c r="O69" s="105">
        <v>490246</v>
      </c>
      <c r="P69" s="109">
        <v>16</v>
      </c>
      <c r="Q69" s="6">
        <f>+VLOOKUP(O69,RAD_NA1_2023!A:U,21,0)</f>
        <v>477392.61600000027</v>
      </c>
      <c r="R69" s="5">
        <v>11</v>
      </c>
    </row>
    <row r="70" spans="3:18" x14ac:dyDescent="0.25">
      <c r="C70" s="126"/>
      <c r="D70" s="127"/>
      <c r="E70" s="101"/>
      <c r="F70" s="105">
        <v>470145</v>
      </c>
      <c r="G70" s="107">
        <v>17</v>
      </c>
      <c r="H70" s="6">
        <f>+VLOOKUP(F70,RAD_NA1_2022!A:U,21,0)</f>
        <v>42696.630839999729</v>
      </c>
      <c r="I70" s="5">
        <v>12</v>
      </c>
      <c r="L70" s="126"/>
      <c r="M70" s="127"/>
      <c r="N70" s="1">
        <v>402196.17</v>
      </c>
      <c r="O70" s="105">
        <v>530355</v>
      </c>
      <c r="P70" s="2">
        <v>16</v>
      </c>
      <c r="Q70" s="6">
        <f>+VLOOKUP(O70,RAD_NA1_2023!A:U,21,0)</f>
        <v>402196.17</v>
      </c>
      <c r="R70" s="5">
        <v>12</v>
      </c>
    </row>
    <row r="71" spans="3:18" x14ac:dyDescent="0.25">
      <c r="C71" s="126"/>
      <c r="D71" s="127"/>
      <c r="E71" s="101"/>
      <c r="F71" s="105">
        <v>500230</v>
      </c>
      <c r="G71" s="107">
        <v>17</v>
      </c>
      <c r="H71" s="6">
        <f>+VLOOKUP(F71,RAD_NA1_2022!A:U,21,0)</f>
        <v>308723.07870000973</v>
      </c>
      <c r="I71" s="5">
        <v>13</v>
      </c>
      <c r="L71" s="126"/>
      <c r="M71" s="127"/>
      <c r="N71" s="1">
        <v>383352.37607998628</v>
      </c>
      <c r="O71" s="105">
        <v>530396</v>
      </c>
      <c r="P71" s="2">
        <v>16</v>
      </c>
      <c r="Q71" s="6">
        <f>+VLOOKUP(O71,RAD_NA1_2023!A:U,21,0)</f>
        <v>383352.37607998628</v>
      </c>
      <c r="R71" s="5">
        <v>13</v>
      </c>
    </row>
    <row r="72" spans="3:18" x14ac:dyDescent="0.25">
      <c r="C72" s="126"/>
      <c r="D72" s="127"/>
      <c r="E72" s="101"/>
      <c r="F72" s="105">
        <v>500232</v>
      </c>
      <c r="G72" s="107">
        <v>17</v>
      </c>
      <c r="H72" s="6">
        <f>+VLOOKUP(F72,RAD_NA1_2022!A:U,21,0)</f>
        <v>68550.865620000419</v>
      </c>
      <c r="I72" s="5">
        <v>14</v>
      </c>
      <c r="L72" s="127"/>
      <c r="M72" s="127"/>
      <c r="N72" s="1">
        <v>1076226.8616960086</v>
      </c>
      <c r="O72" s="106" t="s">
        <v>126</v>
      </c>
      <c r="P72" s="2">
        <v>16</v>
      </c>
      <c r="Q72" s="6">
        <f>+VLOOKUP(O72,RAD_NA1_2023!A:U,21,0)</f>
        <v>1076226.8616960086</v>
      </c>
      <c r="R72" s="5">
        <v>14</v>
      </c>
    </row>
    <row r="73" spans="3:18" x14ac:dyDescent="0.25">
      <c r="C73" s="126"/>
      <c r="D73" s="127"/>
      <c r="E73" s="101"/>
      <c r="F73" s="105">
        <v>530355</v>
      </c>
      <c r="G73" s="107">
        <v>17</v>
      </c>
      <c r="H73" s="6">
        <f>+VLOOKUP(F73,RAD_NA1_2022!A:U,21,0)</f>
        <v>441118.38</v>
      </c>
      <c r="I73" s="5">
        <v>15</v>
      </c>
      <c r="L73" s="126"/>
      <c r="M73" s="127"/>
      <c r="N73" s="1">
        <v>85737.313799999989</v>
      </c>
      <c r="O73" s="105">
        <v>440018</v>
      </c>
      <c r="P73" s="110">
        <v>15</v>
      </c>
      <c r="Q73" s="6">
        <f>+VLOOKUP(O73,RAD_NA1_2023!A:U,21,0)</f>
        <v>673142.41869484156</v>
      </c>
      <c r="R73" s="5">
        <v>15</v>
      </c>
    </row>
    <row r="74" spans="3:18" x14ac:dyDescent="0.25">
      <c r="C74" s="126"/>
      <c r="D74" s="127"/>
      <c r="E74" s="101"/>
      <c r="F74" s="105">
        <v>530444</v>
      </c>
      <c r="G74" s="107">
        <v>17</v>
      </c>
      <c r="H74" s="6">
        <f>+VLOOKUP(F74,RAD_NA1_2022!A:U,21,0)</f>
        <v>6612330.6535999998</v>
      </c>
      <c r="I74" s="5">
        <v>16</v>
      </c>
      <c r="L74" s="126"/>
      <c r="M74" s="127"/>
      <c r="N74" s="1">
        <v>673142.41869484156</v>
      </c>
      <c r="O74" s="105">
        <v>440076</v>
      </c>
      <c r="P74" s="110">
        <v>15</v>
      </c>
      <c r="Q74" s="6">
        <f>+VLOOKUP(O74,RAD_NA1_2023!A:U,21,0)</f>
        <v>359840.39938560117</v>
      </c>
      <c r="R74" s="5">
        <v>16</v>
      </c>
    </row>
    <row r="75" spans="3:18" x14ac:dyDescent="0.25">
      <c r="C75" s="126"/>
      <c r="D75" s="127"/>
      <c r="E75" s="101"/>
      <c r="F75" s="105">
        <v>500234</v>
      </c>
      <c r="G75" s="107">
        <v>16</v>
      </c>
      <c r="H75" s="6">
        <f>+VLOOKUP(F75,RAD_NA1_2022!A:U,21,0)</f>
        <v>324787</v>
      </c>
      <c r="I75" s="5">
        <v>17</v>
      </c>
      <c r="L75" s="126"/>
      <c r="M75" s="127"/>
      <c r="N75" s="1">
        <v>359840.39938560117</v>
      </c>
      <c r="O75" s="105">
        <v>450069</v>
      </c>
      <c r="P75" s="109">
        <v>15</v>
      </c>
      <c r="Q75" s="6">
        <f>+VLOOKUP(O75,RAD_NA1_2023!A:U,21,0)</f>
        <v>288915.10199999996</v>
      </c>
      <c r="R75" s="5">
        <v>17</v>
      </c>
    </row>
    <row r="76" spans="3:18" x14ac:dyDescent="0.25">
      <c r="C76" s="126"/>
      <c r="D76" s="127"/>
      <c r="E76" s="101"/>
      <c r="F76" s="105">
        <v>530359</v>
      </c>
      <c r="G76" s="107">
        <v>16</v>
      </c>
      <c r="H76" s="6">
        <f>+VLOOKUP(F76,RAD_NA1_2022!A:U,21,0)</f>
        <v>236332.04567999431</v>
      </c>
      <c r="I76" s="5">
        <v>18</v>
      </c>
      <c r="L76" s="126"/>
      <c r="M76" s="127"/>
      <c r="N76" s="1">
        <v>288915.10199999996</v>
      </c>
      <c r="O76" s="105">
        <v>490241</v>
      </c>
      <c r="P76" s="109">
        <v>15</v>
      </c>
      <c r="Q76" s="6">
        <f>+VLOOKUP(O76,RAD_NA1_2023!A:U,21,0)</f>
        <v>273621.08739000472</v>
      </c>
      <c r="R76" s="5">
        <v>18</v>
      </c>
    </row>
    <row r="77" spans="3:18" x14ac:dyDescent="0.25">
      <c r="C77" s="126"/>
      <c r="D77" s="127"/>
      <c r="E77" s="101"/>
      <c r="F77" s="105">
        <v>530365</v>
      </c>
      <c r="G77" s="107">
        <v>16</v>
      </c>
      <c r="H77" s="6">
        <f>+VLOOKUP(F77,RAD_NA1_2022!A:U,21,0)</f>
        <v>245768.49</v>
      </c>
      <c r="I77" s="5">
        <v>19</v>
      </c>
      <c r="L77" s="126"/>
      <c r="M77" s="127"/>
      <c r="N77" s="1">
        <v>273621.08739000472</v>
      </c>
      <c r="O77" s="105">
        <v>500233</v>
      </c>
      <c r="P77" s="109">
        <v>15</v>
      </c>
      <c r="Q77" s="6">
        <f>+VLOOKUP(O77,RAD_NA1_2023!A:U,21,0)</f>
        <v>159246.98666999556</v>
      </c>
      <c r="R77" s="5">
        <v>19</v>
      </c>
    </row>
    <row r="78" spans="3:18" x14ac:dyDescent="0.25">
      <c r="C78" s="127"/>
      <c r="D78" s="127"/>
      <c r="E78" s="101"/>
      <c r="F78" s="106" t="s">
        <v>126</v>
      </c>
      <c r="G78" s="107">
        <v>16</v>
      </c>
      <c r="H78" s="6">
        <f>+VLOOKUP(F78,RAD_NA1_2022!A:U,21,0)</f>
        <v>1121069.6476000091</v>
      </c>
      <c r="I78" s="5">
        <v>20</v>
      </c>
      <c r="L78" s="126"/>
      <c r="M78" s="127"/>
      <c r="N78" s="1">
        <v>159246.98666999556</v>
      </c>
      <c r="O78" s="105">
        <v>520333</v>
      </c>
      <c r="P78" s="109">
        <v>15</v>
      </c>
      <c r="Q78" s="6">
        <f>+VLOOKUP(O78,RAD_NA1_2023!A:U,21,0)</f>
        <v>323296.272</v>
      </c>
      <c r="R78" s="5">
        <v>20</v>
      </c>
    </row>
    <row r="79" spans="3:18" x14ac:dyDescent="0.25">
      <c r="C79" s="127"/>
      <c r="D79" s="127"/>
      <c r="E79" s="101"/>
      <c r="F79" s="106" t="s">
        <v>131</v>
      </c>
      <c r="G79" s="107">
        <v>16</v>
      </c>
      <c r="H79" s="6">
        <f>+VLOOKUP(F79,RAD_NA1_2022!A:U,21,0)</f>
        <v>856255.87794003263</v>
      </c>
      <c r="I79" s="5">
        <v>21</v>
      </c>
      <c r="L79" s="126"/>
      <c r="M79" s="127"/>
      <c r="N79" s="1">
        <v>323296.272</v>
      </c>
      <c r="O79" s="105">
        <v>530359</v>
      </c>
      <c r="P79" s="2">
        <v>15</v>
      </c>
      <c r="Q79" s="6">
        <f>+VLOOKUP(O79,RAD_NA1_2023!A:U,21,0)</f>
        <v>215479.2181199948</v>
      </c>
      <c r="R79" s="5">
        <v>21</v>
      </c>
    </row>
    <row r="80" spans="3:18" x14ac:dyDescent="0.25">
      <c r="C80" s="126"/>
      <c r="D80" s="127"/>
      <c r="E80" s="101"/>
      <c r="F80" s="105">
        <v>500233</v>
      </c>
      <c r="G80" s="107">
        <v>15</v>
      </c>
      <c r="H80" s="6">
        <f>+VLOOKUP(F80,RAD_NA1_2022!A:U,21,0)</f>
        <v>174657.98537999514</v>
      </c>
      <c r="I80" s="5">
        <v>22</v>
      </c>
      <c r="L80" s="126"/>
      <c r="M80" s="127"/>
      <c r="N80" s="1">
        <v>215479.2181199948</v>
      </c>
      <c r="O80" s="105">
        <v>440011</v>
      </c>
      <c r="P80" s="109">
        <v>15</v>
      </c>
      <c r="Q80" s="6">
        <f>+VLOOKUP(O80,RAD_NA1_2023!A:U,21,0)</f>
        <v>85737.313799999989</v>
      </c>
      <c r="R80" s="5">
        <v>22</v>
      </c>
    </row>
    <row r="81" spans="2:35" x14ac:dyDescent="0.25">
      <c r="C81" s="126"/>
      <c r="D81" s="127"/>
      <c r="E81" s="101"/>
      <c r="F81" s="105">
        <v>520316</v>
      </c>
      <c r="G81" s="107">
        <v>15</v>
      </c>
      <c r="H81" s="6">
        <f>+VLOOKUP(F81,RAD_NA1_2022!A:U,21,0)</f>
        <v>275080.84506000415</v>
      </c>
      <c r="I81" s="5">
        <v>23</v>
      </c>
      <c r="L81" s="126"/>
      <c r="M81" s="127"/>
      <c r="N81" s="1">
        <v>37821.576529800099</v>
      </c>
      <c r="O81" s="105">
        <v>440073</v>
      </c>
      <c r="P81" s="109">
        <v>14</v>
      </c>
      <c r="Q81" s="6">
        <f>+VLOOKUP(O81,RAD_NA1_2023!A:U,21,0)</f>
        <v>37821.576529800099</v>
      </c>
      <c r="R81" s="5">
        <v>23</v>
      </c>
    </row>
    <row r="82" spans="2:35" x14ac:dyDescent="0.25">
      <c r="C82" s="126"/>
      <c r="D82" s="127"/>
      <c r="E82" s="101"/>
      <c r="F82" s="105">
        <v>440079</v>
      </c>
      <c r="G82" s="107">
        <v>14</v>
      </c>
      <c r="H82" s="6">
        <f>+VLOOKUP(F82,RAD_NA1_2022!A:U,21,0)</f>
        <v>205946.39799999792</v>
      </c>
      <c r="I82" s="5">
        <v>24</v>
      </c>
      <c r="L82" s="126"/>
      <c r="M82" s="127"/>
      <c r="N82" s="1">
        <v>1156942.9863451123</v>
      </c>
      <c r="O82" s="105">
        <v>440075</v>
      </c>
      <c r="P82" s="109">
        <v>14</v>
      </c>
      <c r="Q82" s="6">
        <f>+VLOOKUP(O82,RAD_NA1_2023!A:U,21,0)</f>
        <v>1156942.9863451123</v>
      </c>
      <c r="R82" s="5">
        <v>24</v>
      </c>
    </row>
    <row r="83" spans="2:35" x14ac:dyDescent="0.25">
      <c r="C83" s="126"/>
      <c r="D83" s="127"/>
      <c r="E83" s="101"/>
      <c r="F83" s="105">
        <v>470141</v>
      </c>
      <c r="G83" s="107">
        <v>14</v>
      </c>
      <c r="H83" s="6">
        <f>+VLOOKUP(F83,RAD_NA1_2022!A:U,21,0)</f>
        <v>1468456</v>
      </c>
      <c r="I83" s="5">
        <v>25</v>
      </c>
      <c r="L83" s="126"/>
      <c r="M83" s="127"/>
      <c r="N83" s="1">
        <v>727858.01198523282</v>
      </c>
      <c r="O83" s="105">
        <v>450072</v>
      </c>
      <c r="P83" s="109">
        <v>14</v>
      </c>
      <c r="Q83" s="6">
        <f>+VLOOKUP(O83,RAD_NA1_2023!A:U,21,0)</f>
        <v>727858.01198523282</v>
      </c>
      <c r="R83" s="5">
        <v>25</v>
      </c>
    </row>
    <row r="84" spans="2:35" x14ac:dyDescent="0.25">
      <c r="C84" s="126"/>
      <c r="D84" s="127"/>
      <c r="E84" s="101"/>
      <c r="F84" s="105">
        <v>510299</v>
      </c>
      <c r="G84" s="107">
        <v>14</v>
      </c>
      <c r="H84" s="6">
        <f>+VLOOKUP(F84,RAD_NA1_2022!A:U,21,0)</f>
        <v>659222</v>
      </c>
      <c r="I84" s="5">
        <v>26</v>
      </c>
      <c r="L84" s="126"/>
      <c r="M84" s="127"/>
      <c r="N84" s="1">
        <v>39707.866681199739</v>
      </c>
      <c r="O84" s="105">
        <v>470145</v>
      </c>
      <c r="P84" s="109">
        <v>14</v>
      </c>
      <c r="Q84" s="6">
        <f>+VLOOKUP(O84,RAD_NA1_2023!A:U,21,0)</f>
        <v>39707.866681199739</v>
      </c>
      <c r="R84" s="5">
        <v>26</v>
      </c>
    </row>
    <row r="85" spans="2:35" x14ac:dyDescent="0.25">
      <c r="C85" s="126"/>
      <c r="D85" s="127"/>
      <c r="E85" s="101"/>
      <c r="F85" s="105">
        <v>520333</v>
      </c>
      <c r="G85" s="107">
        <v>14</v>
      </c>
      <c r="H85" s="6">
        <f>+VLOOKUP(F85,RAD_NA1_2022!A:U,21,0)</f>
        <v>354583.00800000003</v>
      </c>
      <c r="I85" s="5">
        <v>27</v>
      </c>
      <c r="L85" s="126"/>
      <c r="M85" s="127"/>
      <c r="N85" s="1">
        <v>1060385.6225999999</v>
      </c>
      <c r="O85" s="105">
        <v>470182</v>
      </c>
      <c r="P85" s="109">
        <v>14</v>
      </c>
      <c r="Q85" s="6">
        <f>+VLOOKUP(O85,RAD_NA1_2023!A:U,21,0)</f>
        <v>1060385.6225999999</v>
      </c>
      <c r="R85" s="5">
        <v>27</v>
      </c>
    </row>
    <row r="86" spans="2:35" x14ac:dyDescent="0.25">
      <c r="C86" s="126"/>
      <c r="D86" s="127"/>
      <c r="E86" s="101"/>
      <c r="F86" s="105">
        <v>470125</v>
      </c>
      <c r="G86" s="107">
        <v>13</v>
      </c>
      <c r="H86" s="6">
        <f>+VLOOKUP(F86,RAD_NA1_2022!A:U,21,0)</f>
        <v>128985.12</v>
      </c>
      <c r="I86" s="5">
        <v>28</v>
      </c>
      <c r="L86" s="126"/>
      <c r="M86" s="127"/>
      <c r="N86" s="1">
        <v>613076.46</v>
      </c>
      <c r="O86" s="105">
        <v>510299</v>
      </c>
      <c r="P86" s="110">
        <v>14</v>
      </c>
      <c r="Q86" s="6">
        <f>+VLOOKUP(O86,RAD_NA1_2023!A:U,21,0)</f>
        <v>613076.46</v>
      </c>
      <c r="R86" s="5">
        <v>28</v>
      </c>
    </row>
    <row r="87" spans="2:35" x14ac:dyDescent="0.25">
      <c r="C87" s="126"/>
      <c r="D87" s="127"/>
      <c r="E87" s="101"/>
      <c r="F87" s="105">
        <v>490248</v>
      </c>
      <c r="G87" s="107">
        <v>13</v>
      </c>
      <c r="H87" s="6">
        <f>+VLOOKUP(F87,RAD_NA1_2022!A:U,21,0)</f>
        <v>434374.22</v>
      </c>
      <c r="I87" s="5">
        <v>29</v>
      </c>
      <c r="L87" s="127"/>
      <c r="M87" s="127"/>
      <c r="N87" s="1">
        <v>93903.364799999996</v>
      </c>
      <c r="O87" s="106" t="s">
        <v>133</v>
      </c>
      <c r="P87" s="2">
        <v>14</v>
      </c>
      <c r="Q87" s="6">
        <f>+VLOOKUP(O87,RAD_NA1_2023!A:U,21,0)</f>
        <v>93903.364799999996</v>
      </c>
      <c r="R87" s="5">
        <v>29</v>
      </c>
    </row>
    <row r="88" spans="2:35" x14ac:dyDescent="0.25">
      <c r="C88" s="126"/>
      <c r="D88" s="127"/>
      <c r="E88" s="101"/>
      <c r="F88" s="105">
        <v>470182</v>
      </c>
      <c r="G88" s="107">
        <v>12</v>
      </c>
      <c r="H88" s="6">
        <f>+VLOOKUP(F88,RAD_NA1_2022!A:U,21,0)</f>
        <v>1161331.2</v>
      </c>
      <c r="I88" s="5">
        <v>30</v>
      </c>
      <c r="L88" s="126"/>
      <c r="M88" s="127"/>
      <c r="N88" s="1">
        <v>259924.48302060101</v>
      </c>
      <c r="O88" s="105">
        <v>460098</v>
      </c>
      <c r="P88" s="109">
        <v>13</v>
      </c>
      <c r="Q88" s="6">
        <f>+VLOOKUP(O88,RAD_NA1_2023!A:U,21,0)</f>
        <v>259924.48302060101</v>
      </c>
      <c r="R88" s="5">
        <v>30</v>
      </c>
    </row>
    <row r="89" spans="2:35" x14ac:dyDescent="0.25">
      <c r="C89" s="126"/>
      <c r="D89" s="127"/>
      <c r="E89" s="101"/>
      <c r="F89" s="105">
        <v>450069</v>
      </c>
      <c r="G89" s="107">
        <v>11</v>
      </c>
      <c r="H89" s="6">
        <f>+VLOOKUP(F89,RAD_NA1_2022!A:U,21,0)</f>
        <v>304570</v>
      </c>
      <c r="I89" s="5">
        <v>31</v>
      </c>
      <c r="L89" s="126"/>
      <c r="M89" s="127"/>
      <c r="N89" s="1">
        <v>338979.41921879502</v>
      </c>
      <c r="O89" s="105">
        <v>460103</v>
      </c>
      <c r="P89" s="109">
        <v>13</v>
      </c>
      <c r="Q89" s="6">
        <f>+VLOOKUP(O89,RAD_NA1_2023!A:U,21,0)</f>
        <v>338979.41921879502</v>
      </c>
      <c r="R89" s="5">
        <v>31</v>
      </c>
    </row>
    <row r="90" spans="2:35" x14ac:dyDescent="0.25">
      <c r="C90" s="126"/>
      <c r="D90" s="127"/>
      <c r="E90" s="101"/>
      <c r="F90" s="105">
        <v>490241</v>
      </c>
      <c r="G90" s="107">
        <v>11</v>
      </c>
      <c r="H90" s="6">
        <f>+VLOOKUP(F90,RAD_NA1_2022!A:U,21,0)</f>
        <v>300100.54746000521</v>
      </c>
      <c r="I90" s="5">
        <v>32</v>
      </c>
      <c r="L90" s="126"/>
      <c r="M90" s="127"/>
      <c r="N90" s="1">
        <v>412212.26999999996</v>
      </c>
      <c r="O90" s="105">
        <v>490248</v>
      </c>
      <c r="P90" s="109">
        <v>13</v>
      </c>
      <c r="Q90" s="6">
        <f>+VLOOKUP(O90,RAD_NA1_2023!A:U,21,0)</f>
        <v>412212.26999999996</v>
      </c>
      <c r="R90" s="5">
        <v>32</v>
      </c>
    </row>
    <row r="91" spans="2:35" x14ac:dyDescent="0.25">
      <c r="C91" s="127"/>
      <c r="D91" s="127"/>
      <c r="E91" s="101"/>
      <c r="F91" s="106" t="s">
        <v>130</v>
      </c>
      <c r="G91" s="107">
        <v>11</v>
      </c>
      <c r="H91" s="6">
        <f>+VLOOKUP(F91,RAD_NA1_2022!A:U,21,0)</f>
        <v>448835.38583999034</v>
      </c>
      <c r="I91" s="5">
        <v>33</v>
      </c>
      <c r="L91" s="126"/>
      <c r="M91" s="127"/>
      <c r="N91" s="1">
        <v>281482.80705000885</v>
      </c>
      <c r="O91" s="105">
        <v>500230</v>
      </c>
      <c r="P91" s="110">
        <v>13</v>
      </c>
      <c r="Q91" s="6">
        <f>+VLOOKUP(O91,RAD_NA1_2023!A:U,21,0)</f>
        <v>281482.80705000885</v>
      </c>
      <c r="R91" s="5">
        <v>33</v>
      </c>
    </row>
    <row r="92" spans="2:35" x14ac:dyDescent="0.25">
      <c r="C92" s="127"/>
      <c r="D92" s="127"/>
      <c r="E92" s="101"/>
      <c r="F92" s="106" t="s">
        <v>128</v>
      </c>
      <c r="G92" s="107">
        <v>10</v>
      </c>
      <c r="H92" s="6">
        <f>+VLOOKUP(F92,RAD_NA1_2022!A:U,21,0)</f>
        <v>387339.12</v>
      </c>
      <c r="I92" s="5">
        <v>34</v>
      </c>
      <c r="L92" s="126"/>
      <c r="M92" s="127"/>
      <c r="N92" s="1">
        <v>224083.03499999997</v>
      </c>
      <c r="O92" s="105">
        <v>530365</v>
      </c>
      <c r="P92" s="2">
        <v>13</v>
      </c>
      <c r="Q92" s="6">
        <f>+VLOOKUP(O92,RAD_NA1_2023!A:U,21,0)</f>
        <v>224083.03499999997</v>
      </c>
      <c r="R92" s="5">
        <v>34</v>
      </c>
    </row>
    <row r="93" spans="2:35" x14ac:dyDescent="0.25">
      <c r="C93" s="127"/>
      <c r="D93" s="127"/>
      <c r="E93" s="101"/>
      <c r="F93" s="106" t="s">
        <v>133</v>
      </c>
      <c r="G93" s="107">
        <v>10</v>
      </c>
      <c r="H93" s="6">
        <f>+VLOOKUP(F93,RAD_NA1_2022!A:U,21,0)</f>
        <v>103032</v>
      </c>
      <c r="I93" s="5" t="s">
        <v>172</v>
      </c>
      <c r="L93" s="126"/>
      <c r="M93" s="127"/>
      <c r="N93" s="1">
        <v>6335014.8315999992</v>
      </c>
      <c r="O93" s="105">
        <v>530444</v>
      </c>
      <c r="P93" s="2">
        <v>13</v>
      </c>
      <c r="Q93" s="6">
        <f>+VLOOKUP(O93,RAD_NA1_2023!A:U,21,0)</f>
        <v>6335014.8315999992</v>
      </c>
      <c r="R93" s="5">
        <v>35</v>
      </c>
    </row>
    <row r="94" spans="2:35" x14ac:dyDescent="0.25">
      <c r="C94" s="126"/>
      <c r="D94" s="127"/>
      <c r="E94" s="101"/>
      <c r="F94" s="105">
        <v>530439</v>
      </c>
      <c r="G94" s="107">
        <v>9</v>
      </c>
      <c r="H94" s="6">
        <f>+VLOOKUP(F94,RAD_NA1_2022!A:U,21,0)</f>
        <v>390471.36221999227</v>
      </c>
      <c r="I94" s="5">
        <v>35</v>
      </c>
      <c r="L94" s="126"/>
      <c r="M94" s="127"/>
      <c r="N94" s="1">
        <v>119956.16159999999</v>
      </c>
      <c r="O94" s="105">
        <v>530439</v>
      </c>
      <c r="P94" s="2">
        <v>12</v>
      </c>
      <c r="Q94" s="6">
        <f>+VLOOKUP(O94,RAD_NA1_2023!A:U,21,0)</f>
        <v>356018.00672999292</v>
      </c>
      <c r="R94" s="5">
        <v>36</v>
      </c>
    </row>
    <row r="95" spans="2:35" x14ac:dyDescent="0.25">
      <c r="C95" s="126"/>
      <c r="D95" s="127"/>
      <c r="E95" s="101"/>
      <c r="F95" s="105">
        <v>480181</v>
      </c>
      <c r="G95" s="107">
        <v>8</v>
      </c>
      <c r="H95" s="6">
        <f>+VLOOKUP(F95,RAD_NA1_2022!A:U,21,0)</f>
        <v>230120.16</v>
      </c>
      <c r="I95" s="5">
        <v>36</v>
      </c>
      <c r="L95" s="126"/>
      <c r="M95" s="127"/>
      <c r="N95" s="1">
        <v>506293.86</v>
      </c>
      <c r="O95" s="105">
        <v>470125</v>
      </c>
      <c r="P95" s="109">
        <v>12</v>
      </c>
      <c r="Q95" s="6">
        <f>+VLOOKUP(O95,RAD_NA1_2023!A:U,21,0)</f>
        <v>119956.16159999999</v>
      </c>
      <c r="R95" s="5">
        <v>37</v>
      </c>
    </row>
    <row r="96" spans="2:35" x14ac:dyDescent="0.25">
      <c r="B96" s="2" t="s">
        <v>83</v>
      </c>
      <c r="C96" s="126"/>
      <c r="D96" s="127"/>
      <c r="E96" s="101"/>
      <c r="F96" s="105">
        <v>480212</v>
      </c>
      <c r="G96" s="107">
        <v>8</v>
      </c>
      <c r="H96" s="6">
        <f>+VLOOKUP(F96,RAD_NA1_2022!A:U,21,0)</f>
        <v>4733.82</v>
      </c>
      <c r="I96" s="5">
        <v>37</v>
      </c>
      <c r="L96" s="126"/>
      <c r="M96" s="127"/>
      <c r="N96" s="1">
        <v>356018.00672999292</v>
      </c>
      <c r="O96" s="105">
        <v>520314</v>
      </c>
      <c r="P96" s="109">
        <v>12</v>
      </c>
      <c r="Q96" s="6">
        <f>+VLOOKUP(O96,RAD_NA1_2023!A:U,21,0)</f>
        <v>506293.86</v>
      </c>
      <c r="R96" s="5">
        <v>38</v>
      </c>
      <c r="AE96" s="80">
        <f>SUMIF($AE6:$AE40,"&gt;0",AE6:AE40)</f>
        <v>558079.66805662971</v>
      </c>
      <c r="AI96" s="82" t="e">
        <f>AE96/C95</f>
        <v>#DIV/0!</v>
      </c>
    </row>
    <row r="97" spans="2:35" x14ac:dyDescent="0.25">
      <c r="B97" s="2" t="s">
        <v>85</v>
      </c>
      <c r="C97" s="126"/>
      <c r="D97" s="127"/>
      <c r="E97" s="101"/>
      <c r="F97" s="105">
        <v>510270</v>
      </c>
      <c r="G97" s="107">
        <v>8</v>
      </c>
      <c r="H97" s="6">
        <f>+VLOOKUP(F97,RAD_NA1_2022!A:U,21,0)</f>
        <v>174141.87251999948</v>
      </c>
      <c r="I97" s="5">
        <v>38</v>
      </c>
      <c r="L97" s="127"/>
      <c r="M97" s="127"/>
      <c r="N97" s="1">
        <v>401047.61828879139</v>
      </c>
      <c r="O97" s="106" t="s">
        <v>130</v>
      </c>
      <c r="P97" s="2">
        <v>12</v>
      </c>
      <c r="Q97" s="6">
        <f>+VLOOKUP(O97,RAD_NA1_2023!A:U,21,0)</f>
        <v>401047.61828879139</v>
      </c>
      <c r="R97" s="5">
        <v>39</v>
      </c>
      <c r="AE97" s="80">
        <f>SUMIF($AE6:$AE40,"=0",AE6:AE40)</f>
        <v>0</v>
      </c>
      <c r="AI97" s="82"/>
    </row>
    <row r="98" spans="2:35" x14ac:dyDescent="0.25">
      <c r="B98" s="2" t="s">
        <v>84</v>
      </c>
      <c r="C98" s="126"/>
      <c r="D98" s="127"/>
      <c r="E98" s="101"/>
      <c r="F98" s="105">
        <v>520314</v>
      </c>
      <c r="G98" s="107">
        <v>8</v>
      </c>
      <c r="H98" s="6">
        <f>+VLOOKUP(F98,RAD_NA1_2022!A:U,21,0)</f>
        <v>533513.96</v>
      </c>
      <c r="I98" s="5">
        <v>39</v>
      </c>
      <c r="L98" s="126"/>
      <c r="M98" s="127"/>
      <c r="N98" s="1">
        <v>55108.917000000001</v>
      </c>
      <c r="O98" s="105">
        <v>440009</v>
      </c>
      <c r="P98" s="109">
        <v>11</v>
      </c>
      <c r="Q98" s="6">
        <f>+VLOOKUP(O98,RAD_NA1_2023!A:U,21,0)</f>
        <v>55108.917000000001</v>
      </c>
      <c r="R98" s="5">
        <v>40</v>
      </c>
      <c r="AE98" s="80">
        <f>SUMIF($AE6:$AE40,"&lt;0",AE6:AE40)</f>
        <v>-147738.22229310026</v>
      </c>
      <c r="AI98" s="82" t="e">
        <f>AE98/C97</f>
        <v>#DIV/0!</v>
      </c>
    </row>
    <row r="99" spans="2:35" x14ac:dyDescent="0.25">
      <c r="C99" s="126"/>
      <c r="D99" s="127"/>
      <c r="E99" s="101"/>
      <c r="F99" s="105">
        <v>440009</v>
      </c>
      <c r="G99" s="107">
        <v>7</v>
      </c>
      <c r="H99" s="6">
        <f>+VLOOKUP(F99,RAD_NA1_2022!A:U,21,0)</f>
        <v>59256.9</v>
      </c>
      <c r="I99" s="5">
        <v>40</v>
      </c>
      <c r="L99" s="126"/>
      <c r="M99" s="127"/>
      <c r="N99" s="1">
        <v>127696.43999999999</v>
      </c>
      <c r="O99" s="105">
        <v>510271</v>
      </c>
      <c r="P99" s="109">
        <v>10</v>
      </c>
      <c r="Q99" s="6">
        <f>+VLOOKUP(O99,RAD_NA1_2023!A:U,21,0)</f>
        <v>127696.43999999999</v>
      </c>
      <c r="R99" s="5">
        <v>41</v>
      </c>
      <c r="AE99" s="18">
        <f>SUM(AE96:AE98)</f>
        <v>410341.44576352945</v>
      </c>
      <c r="AI99" s="82"/>
    </row>
    <row r="100" spans="2:35" x14ac:dyDescent="0.25">
      <c r="C100" s="126"/>
      <c r="D100" s="128"/>
      <c r="E100" s="129"/>
      <c r="F100" s="105">
        <v>440011</v>
      </c>
      <c r="G100" s="107">
        <v>7</v>
      </c>
      <c r="H100" s="6">
        <f>+VLOOKUP(F100,RAD_NA1_2022!A:U,21,0)</f>
        <v>92190.66</v>
      </c>
      <c r="I100" s="5">
        <v>41</v>
      </c>
      <c r="L100" s="127"/>
      <c r="M100" s="127"/>
      <c r="N100" s="1">
        <v>360225.38159999996</v>
      </c>
      <c r="O100" s="106" t="s">
        <v>128</v>
      </c>
      <c r="P100" s="2">
        <v>10</v>
      </c>
      <c r="Q100" s="6">
        <f>+VLOOKUP(O100,RAD_NA1_2023!A:U,21,0)</f>
        <v>360225.38159999996</v>
      </c>
      <c r="R100" s="5">
        <v>42</v>
      </c>
      <c r="AE100" s="81">
        <f>+AE99-AE54</f>
        <v>410341.44588152895</v>
      </c>
    </row>
    <row r="101" spans="2:35" x14ac:dyDescent="0.25">
      <c r="C101" s="126"/>
      <c r="D101" s="128"/>
      <c r="E101" s="129"/>
      <c r="F101" s="105">
        <v>440076</v>
      </c>
      <c r="G101" s="107">
        <v>6</v>
      </c>
      <c r="H101" s="6">
        <f>+VLOOKUP(F101,RAD_NA1_2022!A:U,21,0)</f>
        <v>374833.74936000124</v>
      </c>
      <c r="I101" s="5">
        <v>42</v>
      </c>
      <c r="L101" s="126"/>
      <c r="M101" s="127"/>
      <c r="N101" s="1">
        <v>209815.43999999997</v>
      </c>
      <c r="O101" s="105">
        <v>480181</v>
      </c>
      <c r="P101" s="109">
        <v>9</v>
      </c>
      <c r="Q101" s="6">
        <f>+VLOOKUP(O101,RAD_NA1_2023!A:U,21,0)</f>
        <v>209815.43999999997</v>
      </c>
      <c r="R101" s="5">
        <v>43</v>
      </c>
    </row>
    <row r="102" spans="2:35" x14ac:dyDescent="0.25">
      <c r="C102" s="126"/>
      <c r="D102" s="127"/>
      <c r="E102" s="101"/>
      <c r="F102" s="105">
        <v>440073</v>
      </c>
      <c r="G102" s="107">
        <v>5</v>
      </c>
      <c r="H102" s="6">
        <f>+VLOOKUP(F102,RAD_NA1_2022!A:U,21,0)</f>
        <v>40668.361860000114</v>
      </c>
      <c r="I102" s="5">
        <v>43</v>
      </c>
      <c r="L102" s="126"/>
      <c r="M102" s="127"/>
      <c r="N102" s="1">
        <v>4316.13</v>
      </c>
      <c r="O102" s="105">
        <v>480212</v>
      </c>
      <c r="P102" s="109">
        <v>8</v>
      </c>
      <c r="Q102" s="6">
        <f>+VLOOKUP(O102,RAD_NA1_2023!A:U,21,0)</f>
        <v>4316.13</v>
      </c>
      <c r="R102" s="5">
        <v>44</v>
      </c>
    </row>
    <row r="103" spans="2:35" x14ac:dyDescent="0.25">
      <c r="C103" s="126"/>
      <c r="D103" s="127"/>
      <c r="E103" s="101"/>
      <c r="F103" s="105">
        <v>510271</v>
      </c>
      <c r="G103" s="107">
        <v>5</v>
      </c>
      <c r="H103" s="6">
        <f>+VLOOKUP(F103,RAD_NA1_2022!A:U,21,0)</f>
        <v>140054.16</v>
      </c>
      <c r="I103" s="5">
        <v>44</v>
      </c>
      <c r="L103" s="126"/>
      <c r="M103" s="127"/>
      <c r="N103" s="1">
        <v>158776.41317999951</v>
      </c>
      <c r="O103" s="105">
        <v>510270</v>
      </c>
      <c r="P103" s="109">
        <v>8</v>
      </c>
      <c r="Q103" s="6">
        <f>+VLOOKUP(O103,RAD_NA1_2023!A:U,21,0)</f>
        <v>158776.41317999951</v>
      </c>
      <c r="R103" s="5">
        <v>45</v>
      </c>
    </row>
    <row r="104" spans="2:35" x14ac:dyDescent="0.25">
      <c r="C104" s="126"/>
      <c r="D104" s="128"/>
      <c r="E104" s="129"/>
      <c r="F104" s="105">
        <v>450046</v>
      </c>
      <c r="G104" s="107">
        <v>4</v>
      </c>
      <c r="H104" s="6">
        <f>+VLOOKUP(F104,RAD_NA1_2022!A:U,21,0)</f>
        <v>175320.84399999821</v>
      </c>
      <c r="I104" s="5">
        <v>45</v>
      </c>
      <c r="L104" s="127"/>
      <c r="M104" s="127"/>
      <c r="N104" s="1">
        <v>93903.364799999996</v>
      </c>
      <c r="O104" s="106" t="s">
        <v>135</v>
      </c>
      <c r="P104" s="2">
        <v>6</v>
      </c>
      <c r="Q104" s="6">
        <f>+VLOOKUP(O104,RAD_NA1_2023!A:U,21,0)</f>
        <v>93903.364799999996</v>
      </c>
      <c r="R104" s="5">
        <v>46</v>
      </c>
    </row>
    <row r="105" spans="2:35" x14ac:dyDescent="0.25">
      <c r="C105" s="127"/>
      <c r="D105" s="127"/>
      <c r="E105" s="101"/>
      <c r="F105" s="106" t="s">
        <v>135</v>
      </c>
      <c r="G105" s="107">
        <v>-1</v>
      </c>
      <c r="H105" s="6">
        <f>+VLOOKUP(F105,RAD_NA1_2022!A:U,21,0)</f>
        <v>103032</v>
      </c>
      <c r="I105" s="5" t="s">
        <v>172</v>
      </c>
      <c r="L105" s="126"/>
      <c r="M105" s="127"/>
      <c r="N105" s="1">
        <v>166309.35261839829</v>
      </c>
      <c r="O105" s="105">
        <v>450046</v>
      </c>
      <c r="P105" s="110">
        <v>3</v>
      </c>
      <c r="Q105" s="6">
        <f>+VLOOKUP(O105,RAD_NA1_2023!A:U,21,0)</f>
        <v>166309.35261839829</v>
      </c>
      <c r="R105" s="5">
        <v>47</v>
      </c>
    </row>
    <row r="106" spans="2:35" x14ac:dyDescent="0.25">
      <c r="C106" s="127"/>
      <c r="D106" s="127"/>
      <c r="E106" s="101"/>
      <c r="F106" s="106" t="s">
        <v>137</v>
      </c>
      <c r="G106" s="107">
        <v>-1</v>
      </c>
      <c r="H106" s="6">
        <f>+VLOOKUP(F106,RAD_NA1_2022!A:U,21,0)</f>
        <v>34344</v>
      </c>
      <c r="I106" s="5" t="s">
        <v>172</v>
      </c>
      <c r="L106" s="127"/>
      <c r="M106" s="127"/>
      <c r="N106" s="1">
        <v>103032</v>
      </c>
      <c r="O106" s="106" t="s">
        <v>137</v>
      </c>
      <c r="P106" s="2">
        <v>0</v>
      </c>
      <c r="Q106" s="6">
        <f>+VLOOKUP(O106,RAD_NA1_2023!A:U,21,0)</f>
        <v>103032</v>
      </c>
      <c r="R106" s="131" t="s">
        <v>172</v>
      </c>
    </row>
    <row r="107" spans="2:35" x14ac:dyDescent="0.25">
      <c r="H107" s="1">
        <f>SUM(H59:H106)</f>
        <v>27902199.023800328</v>
      </c>
      <c r="Q107" s="1">
        <f>SUM(Q59:Q106)</f>
        <v>26461709.074882317</v>
      </c>
    </row>
  </sheetData>
  <sheetProtection algorithmName="SHA-512" hashValue="qu+nnoY4crFYxMMaukq8cNhZ2WK0bgcUysXWAeERDLFpz3oypT1C3ss1Js71lSL/SYe3nwfDr4Z1qCan/RcaHw==" saltValue="sii9ljBx2X+dmuIsu5tbig==" spinCount="100000" sheet="1" objects="1" scenarios="1"/>
  <autoFilter ref="AI3:AI54"/>
  <sortState ref="L58:M106">
    <sortCondition descending="1" ref="M58:M106"/>
  </sortState>
  <mergeCells count="23">
    <mergeCell ref="Q4:Q5"/>
    <mergeCell ref="R4:R5"/>
    <mergeCell ref="AB3:AB5"/>
    <mergeCell ref="D3:D5"/>
    <mergeCell ref="M3:M5"/>
    <mergeCell ref="P4:P5"/>
    <mergeCell ref="G4:G5"/>
    <mergeCell ref="AE3:AE5"/>
    <mergeCell ref="AI3:AI5"/>
    <mergeCell ref="F4:F5"/>
    <mergeCell ref="H4:H5"/>
    <mergeCell ref="I4:I5"/>
    <mergeCell ref="J4:L4"/>
    <mergeCell ref="S3:U3"/>
    <mergeCell ref="O3:R3"/>
    <mergeCell ref="F3:I3"/>
    <mergeCell ref="J3:L3"/>
    <mergeCell ref="V3:V5"/>
    <mergeCell ref="Y3:Z4"/>
    <mergeCell ref="X3:X5"/>
    <mergeCell ref="AC3:AC5"/>
    <mergeCell ref="O4:O5"/>
    <mergeCell ref="S4:U4"/>
  </mergeCells>
  <conditionalFormatting sqref="O95:O106">
    <cfRule type="duplicateValues" dxfId="9" priority="10"/>
  </conditionalFormatting>
  <conditionalFormatting sqref="O60:O94">
    <cfRule type="duplicateValues" dxfId="8" priority="11"/>
  </conditionalFormatting>
  <conditionalFormatting sqref="F22:F24">
    <cfRule type="duplicateValues" dxfId="7" priority="8"/>
  </conditionalFormatting>
  <conditionalFormatting sqref="C59:C106">
    <cfRule type="duplicateValues" dxfId="6" priority="5"/>
  </conditionalFormatting>
  <conditionalFormatting sqref="L95:L106">
    <cfRule type="duplicateValues" dxfId="5" priority="3"/>
  </conditionalFormatting>
  <conditionalFormatting sqref="L60:L94">
    <cfRule type="duplicateValues" dxfId="4" priority="4"/>
  </conditionalFormatting>
  <conditionalFormatting sqref="O43:O53 O20">
    <cfRule type="duplicateValues" dxfId="3" priority="1"/>
  </conditionalFormatting>
  <conditionalFormatting sqref="O7:O19 O21:O42">
    <cfRule type="duplicateValues" dxfId="2" priority="20"/>
  </conditionalFormatting>
  <conditionalFormatting sqref="F59:F106">
    <cfRule type="duplicateValues" dxfId="1" priority="21"/>
  </conditionalFormatting>
  <conditionalFormatting sqref="F6:F21 K64:K66 F25:F53">
    <cfRule type="duplicateValues" dxfId="0" priority="22"/>
  </conditionalFormatting>
  <printOptions horizontalCentered="1"/>
  <pageMargins left="0.9055118110236221" right="0.9055118110236221" top="1.1417322834645669" bottom="0.74803149606299213" header="0.62992125984251968" footer="0.51181102362204722"/>
  <pageSetup paperSize="9" scale="73" fitToWidth="2" orientation="landscape" r:id="rId1"/>
  <headerFooter>
    <oddHeader xml:space="preserve">&amp;C&amp;"-,Grassetto"&amp;18INDICAZIONI OPERATIVE: Allegato RAD_03
RADIOLOGIA: punteggio negli INDICATORI di PERFORMANCE e TOTALE variazioni da applicare sul TETTO 2024&amp;R: </oddHeader>
    <oddFooter>&amp;C&amp;14pag. n. &amp;P di &amp;N</oddFooter>
  </headerFooter>
  <colBreaks count="1" manualBreakCount="1">
    <brk id="18" min="1" max="4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RAD_NA1_2022</vt:lpstr>
      <vt:lpstr>RAD_NA1_2023</vt:lpstr>
      <vt:lpstr>RAD_NA1_RIEP_x_2024</vt:lpstr>
      <vt:lpstr>RAD_NA1_2022!Area_stampa</vt:lpstr>
      <vt:lpstr>RAD_NA1_2023!Area_stampa</vt:lpstr>
      <vt:lpstr>RAD_NA1_RIEP_x_2024!Area_stampa</vt:lpstr>
      <vt:lpstr>RAD_NA1_RIEP_x_2024!Titoli_stampa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Marurizio Cartalemi</cp:lastModifiedBy>
  <cp:lastPrinted>2024-12-16T08:36:05Z</cp:lastPrinted>
  <dcterms:created xsi:type="dcterms:W3CDTF">2024-10-14T14:17:55Z</dcterms:created>
  <dcterms:modified xsi:type="dcterms:W3CDTF">2025-02-12T13:30:37Z</dcterms:modified>
</cp:coreProperties>
</file>