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cartalemi\Desktop\Tetti 2025\Invio ghidelli\Per INVIO\Branche a visita\"/>
    </mc:Choice>
  </mc:AlternateContent>
  <bookViews>
    <workbookView xWindow="0" yWindow="0" windowWidth="23040" windowHeight="9060" activeTab="3"/>
  </bookViews>
  <sheets>
    <sheet name="BV_NA1_2022" sheetId="2" r:id="rId1"/>
    <sheet name="BV_NA1_2023" sheetId="1" r:id="rId2"/>
    <sheet name="Consuntivo 2023" sheetId="4" state="hidden" r:id="rId3"/>
    <sheet name="BV_NA1_RIEP_x_2024" sheetId="3" r:id="rId4"/>
  </sheets>
  <externalReferences>
    <externalReference r:id="rId5"/>
    <externalReference r:id="rId6"/>
  </externalReferences>
  <definedNames>
    <definedName name="_09_1_Elenco_Strutture" localSheetId="0">#REF!</definedName>
    <definedName name="_09_1_Elenco_Strutture" localSheetId="1">#REF!</definedName>
    <definedName name="_09_1_Elenco_Strutture" localSheetId="3">#REF!</definedName>
    <definedName name="_09_1_Elenco_Strutture">#REF!</definedName>
    <definedName name="_xlnm._FilterDatabase" localSheetId="3" hidden="1">BV_NA1_RIEP_x_2024!$AI$3:$AI$35</definedName>
    <definedName name="_xlnm.Print_Area" localSheetId="0">BV_NA1_2022!$A$1:$U$21</definedName>
    <definedName name="_xlnm.Print_Area" localSheetId="1">BV_NA1_2023!$A$1:$U$37</definedName>
    <definedName name="_xlnm.Print_Area" localSheetId="3">BV_NA1_RIEP_x_2024!$A$2:$AE$36</definedName>
    <definedName name="Excel_BuiltIn_Print_Titles_1_1">('[1]ESITO 2010'!$B$1:$B$65451,'[1]ESITO 2010'!$A$2:$IT$2)</definedName>
    <definedName name="Excel_BuiltIn_Print_Titles_1_1_1">('[1]ESITO 2010'!$B$2:$B$65379,'[1]ESITO 2010'!$A$2:$IT$2)</definedName>
    <definedName name="Excel_BuiltIn_Print_Titles_1_1_1_1">('[1]ESITO 2010'!$B$2:$B$65379,'[1]ESITO 2010'!$A$2:$IT$2)</definedName>
    <definedName name="Excel_BuiltIn_Print_Titles_2_1_1_1">('[1]ESITO 2010'!$B$2:$B$65359,'[1]ESITO 2010'!$A$2:$IT$2)</definedName>
    <definedName name="Excel_BuiltIn_Print_Titles_2_1_1_1_1">('[1]ESITO 2010'!$B$2:$B$65359,'[1]ESITO 2010'!$A$2:$IT$2)</definedName>
    <definedName name="_xlnm.Print_Titles" localSheetId="3">BV_NA1_RIEP_x_2024!$A:$B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3" l="1"/>
  <c r="U25" i="3"/>
  <c r="U26" i="3"/>
  <c r="U27" i="3"/>
  <c r="U28" i="3"/>
  <c r="U29" i="3"/>
  <c r="U30" i="3"/>
  <c r="U31" i="3"/>
  <c r="U32" i="3"/>
  <c r="U33" i="3"/>
  <c r="U24" i="3"/>
  <c r="U20" i="3"/>
  <c r="U21" i="3"/>
  <c r="U22" i="3"/>
  <c r="U23" i="3"/>
  <c r="U19" i="3"/>
  <c r="T20" i="3"/>
  <c r="T21" i="3"/>
  <c r="T22" i="3"/>
  <c r="T23" i="3"/>
  <c r="T19" i="3"/>
  <c r="T42" i="3"/>
  <c r="T17" i="3"/>
  <c r="T18" i="3"/>
  <c r="T16" i="3"/>
  <c r="T13" i="3"/>
  <c r="T14" i="3"/>
  <c r="T15" i="3"/>
  <c r="T12" i="3"/>
  <c r="S13" i="3"/>
  <c r="S14" i="3"/>
  <c r="S15" i="3"/>
  <c r="S12" i="3"/>
  <c r="S43" i="3"/>
  <c r="S42" i="3"/>
  <c r="S6" i="3"/>
  <c r="L35" i="3"/>
  <c r="L22" i="3"/>
  <c r="L23" i="3"/>
  <c r="L24" i="3"/>
  <c r="L25" i="3"/>
  <c r="L26" i="3"/>
  <c r="L27" i="3"/>
  <c r="L28" i="3"/>
  <c r="L29" i="3"/>
  <c r="L30" i="3"/>
  <c r="L31" i="3"/>
  <c r="L32" i="3"/>
  <c r="L33" i="3"/>
  <c r="L21" i="3"/>
  <c r="L15" i="3"/>
  <c r="L16" i="3"/>
  <c r="L17" i="3"/>
  <c r="L18" i="3"/>
  <c r="L19" i="3"/>
  <c r="L20" i="3"/>
  <c r="L14" i="3"/>
  <c r="K15" i="3"/>
  <c r="K16" i="3"/>
  <c r="K17" i="3"/>
  <c r="K18" i="3"/>
  <c r="K19" i="3"/>
  <c r="K20" i="3"/>
  <c r="K14" i="3"/>
  <c r="K42" i="3"/>
  <c r="K41" i="3"/>
  <c r="K13" i="3"/>
  <c r="K12" i="3"/>
  <c r="J13" i="3"/>
  <c r="J12" i="3"/>
  <c r="J42" i="3"/>
  <c r="J41" i="3"/>
  <c r="J11" i="3"/>
  <c r="J10" i="3"/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6" i="3"/>
  <c r="L34" i="1"/>
  <c r="P34" i="1" s="1"/>
  <c r="L33" i="1"/>
  <c r="P33" i="1" s="1"/>
  <c r="L32" i="1"/>
  <c r="P32" i="1" s="1"/>
  <c r="L31" i="1"/>
  <c r="P31" i="1" s="1"/>
  <c r="L30" i="1"/>
  <c r="P30" i="1" s="1"/>
  <c r="L29" i="1"/>
  <c r="P29" i="1" s="1"/>
  <c r="L28" i="1"/>
  <c r="P28" i="1" s="1"/>
  <c r="L27" i="1"/>
  <c r="P27" i="1" s="1"/>
  <c r="L26" i="1"/>
  <c r="O26" i="1" s="1"/>
  <c r="L25" i="1"/>
  <c r="O25" i="1" s="1"/>
  <c r="L24" i="1"/>
  <c r="O24" i="1" s="1"/>
  <c r="L23" i="1"/>
  <c r="O23" i="1" s="1"/>
  <c r="L22" i="1"/>
  <c r="O22" i="1" s="1"/>
  <c r="L21" i="1"/>
  <c r="O21" i="1" s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G52" i="1"/>
  <c r="G44" i="1"/>
  <c r="G51" i="1"/>
  <c r="G45" i="1"/>
  <c r="G70" i="1"/>
  <c r="G54" i="1"/>
  <c r="G48" i="1"/>
  <c r="G42" i="1"/>
  <c r="G67" i="1"/>
  <c r="G64" i="1"/>
  <c r="G60" i="1"/>
  <c r="G55" i="1"/>
  <c r="G61" i="1"/>
  <c r="G65" i="1"/>
  <c r="G53" i="1"/>
  <c r="G66" i="1"/>
  <c r="G49" i="1"/>
  <c r="G50" i="1"/>
  <c r="G43" i="1"/>
  <c r="G47" i="1"/>
  <c r="G62" i="1"/>
  <c r="G59" i="1"/>
  <c r="G57" i="1"/>
  <c r="G58" i="1"/>
  <c r="G69" i="1"/>
  <c r="G56" i="1"/>
  <c r="G63" i="1"/>
  <c r="G46" i="1"/>
  <c r="G68" i="1"/>
  <c r="F34" i="4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6" i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5" i="4"/>
  <c r="P35" i="1" l="1"/>
  <c r="G71" i="1"/>
  <c r="I35" i="1"/>
  <c r="E35" i="1" l="1"/>
  <c r="L34" i="2"/>
  <c r="P34" i="2" s="1"/>
  <c r="L22" i="2"/>
  <c r="O22" i="2" s="1"/>
  <c r="L33" i="2"/>
  <c r="P33" i="2" s="1"/>
  <c r="L32" i="2"/>
  <c r="P32" i="2" s="1"/>
  <c r="L31" i="2"/>
  <c r="P31" i="2" s="1"/>
  <c r="L30" i="2"/>
  <c r="P30" i="2" s="1"/>
  <c r="L29" i="2"/>
  <c r="P29" i="2" s="1"/>
  <c r="L28" i="2"/>
  <c r="P28" i="2" s="1"/>
  <c r="L27" i="2"/>
  <c r="O27" i="2" s="1"/>
  <c r="L26" i="2"/>
  <c r="O26" i="2" s="1"/>
  <c r="L25" i="2"/>
  <c r="O25" i="2" s="1"/>
  <c r="L24" i="2"/>
  <c r="O24" i="2" s="1"/>
  <c r="L23" i="2"/>
  <c r="O23" i="2" s="1"/>
  <c r="L21" i="2"/>
  <c r="O21" i="2" s="1"/>
  <c r="L20" i="2"/>
  <c r="N20" i="2" s="1"/>
  <c r="L19" i="2"/>
  <c r="N19" i="2" s="1"/>
  <c r="L18" i="2"/>
  <c r="N18" i="2" s="1"/>
  <c r="L17" i="2"/>
  <c r="N17" i="2" s="1"/>
  <c r="L16" i="2"/>
  <c r="N16" i="2" s="1"/>
  <c r="L15" i="2"/>
  <c r="N15" i="2" s="1"/>
  <c r="L14" i="2"/>
  <c r="N14" i="2" s="1"/>
  <c r="L13" i="2"/>
  <c r="N13" i="2" s="1"/>
  <c r="L12" i="2"/>
  <c r="N12" i="2" s="1"/>
  <c r="L11" i="2"/>
  <c r="N11" i="2" s="1"/>
  <c r="L10" i="2"/>
  <c r="N10" i="2" s="1"/>
  <c r="L9" i="2"/>
  <c r="N9" i="2" s="1"/>
  <c r="L8" i="2"/>
  <c r="N8" i="2" s="1"/>
  <c r="L7" i="2"/>
  <c r="N7" i="2" s="1"/>
  <c r="L6" i="2"/>
  <c r="N6" i="2" s="1"/>
  <c r="O35" i="2" l="1"/>
  <c r="H35" i="2"/>
  <c r="T43" i="3" l="1"/>
  <c r="S7" i="3"/>
  <c r="S8" i="3"/>
  <c r="S9" i="3"/>
  <c r="S10" i="3"/>
  <c r="S11" i="3"/>
  <c r="L34" i="3"/>
  <c r="J9" i="3"/>
  <c r="J7" i="3"/>
  <c r="J6" i="3"/>
  <c r="L35" i="1" l="1"/>
  <c r="E76" i="2"/>
  <c r="Z27" i="3" l="1"/>
  <c r="Z26" i="3"/>
  <c r="Z7" i="3"/>
  <c r="Z10" i="3"/>
  <c r="Z12" i="3"/>
  <c r="Z11" i="3"/>
  <c r="Z31" i="3"/>
  <c r="Z13" i="3"/>
  <c r="Z20" i="3"/>
  <c r="V21" i="3"/>
  <c r="Z16" i="3" s="1"/>
  <c r="V22" i="3"/>
  <c r="Z21" i="3" s="1"/>
  <c r="V23" i="3"/>
  <c r="Z25" i="3" s="1"/>
  <c r="V24" i="3"/>
  <c r="Z28" i="3" s="1"/>
  <c r="V25" i="3"/>
  <c r="Z29" i="3" s="1"/>
  <c r="V26" i="3"/>
  <c r="Z30" i="3" s="1"/>
  <c r="V27" i="3"/>
  <c r="V20" i="3"/>
  <c r="Z15" i="3" s="1"/>
  <c r="V14" i="3"/>
  <c r="V15" i="3"/>
  <c r="Z22" i="3" s="1"/>
  <c r="V16" i="3"/>
  <c r="Z32" i="3" s="1"/>
  <c r="V17" i="3"/>
  <c r="Z23" i="3" s="1"/>
  <c r="V18" i="3"/>
  <c r="V19" i="3"/>
  <c r="V13" i="3"/>
  <c r="Z6" i="3" s="1"/>
  <c r="V32" i="3"/>
  <c r="V7" i="3"/>
  <c r="Z18" i="3" s="1"/>
  <c r="V8" i="3"/>
  <c r="V9" i="3"/>
  <c r="V10" i="3"/>
  <c r="Z19" i="3" s="1"/>
  <c r="V11" i="3"/>
  <c r="Z24" i="3" s="1"/>
  <c r="V12" i="3"/>
  <c r="Z33" i="3" s="1"/>
  <c r="Q35" i="3"/>
  <c r="M7" i="3"/>
  <c r="Y32" i="3" s="1"/>
  <c r="M9" i="3"/>
  <c r="M10" i="3"/>
  <c r="M11" i="3"/>
  <c r="M13" i="3"/>
  <c r="M15" i="3"/>
  <c r="M16" i="3"/>
  <c r="M17" i="3"/>
  <c r="M25" i="3"/>
  <c r="M30" i="3"/>
  <c r="M31" i="3"/>
  <c r="M32" i="3"/>
  <c r="M33" i="3"/>
  <c r="M34" i="3"/>
  <c r="M29" i="3"/>
  <c r="M26" i="3"/>
  <c r="M27" i="3"/>
  <c r="M28" i="3"/>
  <c r="M12" i="3"/>
  <c r="M14" i="3"/>
  <c r="H35" i="3"/>
  <c r="Z8" i="3" l="1"/>
  <c r="Z9" i="3"/>
  <c r="Y28" i="3"/>
  <c r="Y27" i="3"/>
  <c r="V33" i="3"/>
  <c r="Y16" i="3"/>
  <c r="V31" i="3"/>
  <c r="Y7" i="3"/>
  <c r="Y26" i="3"/>
  <c r="Y34" i="3"/>
  <c r="Y14" i="3"/>
  <c r="Y24" i="3"/>
  <c r="Y18" i="3"/>
  <c r="Y29" i="3"/>
  <c r="Y22" i="3"/>
  <c r="Y17" i="3"/>
  <c r="Y12" i="3"/>
  <c r="Y13" i="3"/>
  <c r="Y21" i="3"/>
  <c r="Y31" i="3"/>
  <c r="Y6" i="3"/>
  <c r="Y25" i="3"/>
  <c r="Y20" i="3"/>
  <c r="Y11" i="3"/>
  <c r="Y10" i="3"/>
  <c r="V28" i="3" l="1"/>
  <c r="Z14" i="3" s="1"/>
  <c r="V30" i="3"/>
  <c r="D35" i="3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6" i="1"/>
  <c r="Q30" i="1"/>
  <c r="T22" i="1" s="1"/>
  <c r="Q31" i="1"/>
  <c r="Q32" i="1"/>
  <c r="T17" i="1" s="1"/>
  <c r="AC17" i="3" s="1"/>
  <c r="Q33" i="1"/>
  <c r="Q34" i="1"/>
  <c r="Q28" i="1"/>
  <c r="Q25" i="1"/>
  <c r="Q26" i="1"/>
  <c r="Q27" i="1"/>
  <c r="Q24" i="1"/>
  <c r="Q13" i="1"/>
  <c r="Q14" i="1"/>
  <c r="Q15" i="1"/>
  <c r="T9" i="1" s="1"/>
  <c r="Q16" i="1"/>
  <c r="Q17" i="1"/>
  <c r="Q18" i="1"/>
  <c r="Q19" i="1"/>
  <c r="T18" i="1" s="1"/>
  <c r="Q20" i="1"/>
  <c r="Q21" i="1"/>
  <c r="Q22" i="1"/>
  <c r="T30" i="1" s="1"/>
  <c r="Q23" i="1"/>
  <c r="T27" i="1" l="1"/>
  <c r="AC27" i="3" s="1"/>
  <c r="T7" i="1"/>
  <c r="T28" i="1"/>
  <c r="AC28" i="3" s="1"/>
  <c r="T16" i="1"/>
  <c r="AC16" i="3" s="1"/>
  <c r="T15" i="1"/>
  <c r="AC15" i="3" s="1"/>
  <c r="T12" i="1"/>
  <c r="AC12" i="3" s="1"/>
  <c r="T6" i="1"/>
  <c r="T31" i="1"/>
  <c r="AC31" i="3" s="1"/>
  <c r="T32" i="1"/>
  <c r="AC32" i="3" s="1"/>
  <c r="T29" i="1"/>
  <c r="AC29" i="3" s="1"/>
  <c r="O35" i="1"/>
  <c r="V29" i="3"/>
  <c r="Z34" i="3" s="1"/>
  <c r="U27" i="1"/>
  <c r="S35" i="1"/>
  <c r="AC18" i="3"/>
  <c r="U18" i="1"/>
  <c r="AC9" i="3"/>
  <c r="U9" i="1"/>
  <c r="AC7" i="3"/>
  <c r="U7" i="1"/>
  <c r="AC22" i="3"/>
  <c r="U22" i="1"/>
  <c r="AC30" i="3"/>
  <c r="U30" i="1"/>
  <c r="Q29" i="1"/>
  <c r="T21" i="1" s="1"/>
  <c r="AC21" i="3" s="1"/>
  <c r="U17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U15" i="1" l="1"/>
  <c r="U28" i="1"/>
  <c r="U16" i="1"/>
  <c r="T20" i="1"/>
  <c r="AC20" i="3" s="1"/>
  <c r="U31" i="1"/>
  <c r="U29" i="1"/>
  <c r="U32" i="1"/>
  <c r="U12" i="1"/>
  <c r="U21" i="1"/>
  <c r="H35" i="1"/>
  <c r="U20" i="1" l="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6" i="2"/>
  <c r="T12" i="2"/>
  <c r="Q34" i="2"/>
  <c r="Q31" i="2"/>
  <c r="Q32" i="2"/>
  <c r="T22" i="2" s="1"/>
  <c r="Q33" i="2"/>
  <c r="T6" i="2" s="1"/>
  <c r="Q28" i="2"/>
  <c r="Q29" i="2"/>
  <c r="Q30" i="2"/>
  <c r="Q24" i="2"/>
  <c r="Q25" i="2"/>
  <c r="Q26" i="2"/>
  <c r="Q27" i="2"/>
  <c r="T30" i="2" s="1"/>
  <c r="Q23" i="2"/>
  <c r="Q22" i="2"/>
  <c r="T28" i="2" s="1"/>
  <c r="Q15" i="2"/>
  <c r="Q16" i="2"/>
  <c r="Q17" i="2"/>
  <c r="Q18" i="2"/>
  <c r="Q19" i="2"/>
  <c r="T9" i="2" s="1"/>
  <c r="Q20" i="2"/>
  <c r="T18" i="2" s="1"/>
  <c r="Q21" i="2"/>
  <c r="Q12" i="1"/>
  <c r="Q14" i="2"/>
  <c r="Q7" i="2"/>
  <c r="T34" i="2" s="1"/>
  <c r="Q8" i="2"/>
  <c r="Q9" i="2"/>
  <c r="Q10" i="2"/>
  <c r="Q11" i="2"/>
  <c r="Q12" i="2"/>
  <c r="Q13" i="2"/>
  <c r="L35" i="2"/>
  <c r="L36" i="2" s="1"/>
  <c r="T27" i="2" l="1"/>
  <c r="T16" i="2"/>
  <c r="T19" i="2"/>
  <c r="T31" i="2"/>
  <c r="AB31" i="3" s="1"/>
  <c r="AE31" i="3" s="1"/>
  <c r="AI31" i="3" s="1"/>
  <c r="S35" i="2"/>
  <c r="T32" i="2"/>
  <c r="AB32" i="3" s="1"/>
  <c r="AE32" i="3" s="1"/>
  <c r="AI32" i="3" s="1"/>
  <c r="T17" i="2"/>
  <c r="U17" i="2" s="1"/>
  <c r="T29" i="2"/>
  <c r="U29" i="2" s="1"/>
  <c r="T15" i="2"/>
  <c r="U15" i="2" s="1"/>
  <c r="T24" i="2"/>
  <c r="AB24" i="3" s="1"/>
  <c r="T21" i="2"/>
  <c r="AB21" i="3" s="1"/>
  <c r="AE21" i="3" s="1"/>
  <c r="AI21" i="3" s="1"/>
  <c r="T10" i="2"/>
  <c r="U10" i="2" s="1"/>
  <c r="T11" i="1"/>
  <c r="U11" i="1" s="1"/>
  <c r="T13" i="1"/>
  <c r="T8" i="2"/>
  <c r="AB8" i="3" s="1"/>
  <c r="T33" i="2"/>
  <c r="U33" i="2" s="1"/>
  <c r="T11" i="2"/>
  <c r="AB11" i="3" s="1"/>
  <c r="T13" i="2"/>
  <c r="AB13" i="3" s="1"/>
  <c r="T20" i="2"/>
  <c r="U20" i="2" s="1"/>
  <c r="T7" i="2"/>
  <c r="U7" i="2" s="1"/>
  <c r="T25" i="2"/>
  <c r="AB25" i="3" s="1"/>
  <c r="T26" i="2"/>
  <c r="AB26" i="3" s="1"/>
  <c r="AB34" i="3"/>
  <c r="U34" i="2"/>
  <c r="AB12" i="3"/>
  <c r="AE12" i="3" s="1"/>
  <c r="AI12" i="3" s="1"/>
  <c r="U12" i="2"/>
  <c r="AB28" i="3"/>
  <c r="AE28" i="3" s="1"/>
  <c r="AI28" i="3" s="1"/>
  <c r="U28" i="2"/>
  <c r="AB27" i="3"/>
  <c r="AE27" i="3" s="1"/>
  <c r="AI27" i="3" s="1"/>
  <c r="U27" i="2"/>
  <c r="AB9" i="3"/>
  <c r="U9" i="2"/>
  <c r="Y9" i="3" s="1"/>
  <c r="AB22" i="3"/>
  <c r="AE22" i="3" s="1"/>
  <c r="AI22" i="3" s="1"/>
  <c r="U22" i="2"/>
  <c r="AB30" i="3"/>
  <c r="U30" i="2"/>
  <c r="AB10" i="3"/>
  <c r="AB16" i="3"/>
  <c r="AE16" i="3" s="1"/>
  <c r="AI16" i="3" s="1"/>
  <c r="U16" i="2"/>
  <c r="AB19" i="3"/>
  <c r="U19" i="2"/>
  <c r="AB18" i="3"/>
  <c r="AE18" i="3" s="1"/>
  <c r="AI18" i="3" s="1"/>
  <c r="U18" i="2"/>
  <c r="U31" i="2"/>
  <c r="Z35" i="2"/>
  <c r="Y35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AB17" i="3" l="1"/>
  <c r="AB33" i="3"/>
  <c r="AC11" i="3"/>
  <c r="AB29" i="3"/>
  <c r="AE29" i="3" s="1"/>
  <c r="AI29" i="3" s="1"/>
  <c r="AB15" i="3"/>
  <c r="U32" i="2"/>
  <c r="M24" i="3" s="1"/>
  <c r="K35" i="3"/>
  <c r="U24" i="2"/>
  <c r="U21" i="2"/>
  <c r="AC13" i="3"/>
  <c r="AE13" i="3" s="1"/>
  <c r="AI13" i="3" s="1"/>
  <c r="U13" i="1"/>
  <c r="U8" i="2"/>
  <c r="Y8" i="3" s="1"/>
  <c r="AE9" i="3"/>
  <c r="AI9" i="3" s="1"/>
  <c r="AE11" i="3"/>
  <c r="U11" i="2"/>
  <c r="AB20" i="3"/>
  <c r="AE20" i="3" s="1"/>
  <c r="AI20" i="3" s="1"/>
  <c r="AB7" i="3"/>
  <c r="AE7" i="3" s="1"/>
  <c r="AI7" i="3" s="1"/>
  <c r="U25" i="2"/>
  <c r="J8" i="3" s="1"/>
  <c r="U13" i="2"/>
  <c r="U26" i="2"/>
  <c r="X35" i="2"/>
  <c r="M8" i="3" l="1"/>
  <c r="Y33" i="3" s="1"/>
  <c r="J35" i="3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6" i="2"/>
  <c r="E35" i="2"/>
  <c r="F35" i="2" l="1"/>
  <c r="Q11" i="1" l="1"/>
  <c r="T26" i="1" s="1"/>
  <c r="Q10" i="1"/>
  <c r="Q9" i="1"/>
  <c r="T10" i="1" s="1"/>
  <c r="Q8" i="1"/>
  <c r="T19" i="1" s="1"/>
  <c r="Q7" i="1"/>
  <c r="T25" i="1" s="1"/>
  <c r="N35" i="1"/>
  <c r="AC25" i="3" l="1"/>
  <c r="AE25" i="3" s="1"/>
  <c r="AI25" i="3" s="1"/>
  <c r="U25" i="1"/>
  <c r="U10" i="1"/>
  <c r="AC10" i="3"/>
  <c r="AE10" i="3" s="1"/>
  <c r="AI10" i="3" s="1"/>
  <c r="T24" i="1"/>
  <c r="AC24" i="3" s="1"/>
  <c r="AE24" i="3" s="1"/>
  <c r="AI24" i="3" s="1"/>
  <c r="T34" i="1"/>
  <c r="U26" i="1"/>
  <c r="AC26" i="3"/>
  <c r="AE26" i="3" s="1"/>
  <c r="AI26" i="3" s="1"/>
  <c r="T8" i="1"/>
  <c r="AC8" i="3" s="1"/>
  <c r="AE8" i="3" s="1"/>
  <c r="AI8" i="3" s="1"/>
  <c r="T33" i="1"/>
  <c r="AC19" i="3"/>
  <c r="U19" i="1"/>
  <c r="M23" i="3"/>
  <c r="M20" i="3"/>
  <c r="M18" i="3"/>
  <c r="M21" i="3"/>
  <c r="M22" i="3"/>
  <c r="U24" i="1" l="1"/>
  <c r="AC34" i="3"/>
  <c r="AE34" i="3" s="1"/>
  <c r="AI34" i="3" s="1"/>
  <c r="U34" i="1"/>
  <c r="U8" i="1"/>
  <c r="U33" i="1"/>
  <c r="AC33" i="3"/>
  <c r="AE33" i="3" s="1"/>
  <c r="AI33" i="3" s="1"/>
  <c r="Y23" i="3"/>
  <c r="P35" i="2"/>
  <c r="P36" i="2" s="1"/>
  <c r="O36" i="2"/>
  <c r="M19" i="3" l="1"/>
  <c r="H36" i="3"/>
  <c r="Q36" i="3"/>
  <c r="I6" i="2"/>
  <c r="F6" i="1"/>
  <c r="Q6" i="1"/>
  <c r="L36" i="1"/>
  <c r="T23" i="1" l="1"/>
  <c r="T14" i="1"/>
  <c r="T35" i="1" s="1"/>
  <c r="Y15" i="3"/>
  <c r="AE15" i="3" s="1"/>
  <c r="AI15" i="3" s="1"/>
  <c r="V6" i="3"/>
  <c r="S35" i="3"/>
  <c r="S36" i="3" s="1"/>
  <c r="M6" i="3"/>
  <c r="Y30" i="3" s="1"/>
  <c r="AE30" i="3" s="1"/>
  <c r="AI30" i="3" s="1"/>
  <c r="J36" i="3"/>
  <c r="AC23" i="3"/>
  <c r="U23" i="1"/>
  <c r="Q6" i="2"/>
  <c r="T14" i="2" s="1"/>
  <c r="N35" i="2"/>
  <c r="N36" i="2" s="1"/>
  <c r="Y19" i="3"/>
  <c r="AB6" i="3"/>
  <c r="AC6" i="3"/>
  <c r="N36" i="1"/>
  <c r="I35" i="2"/>
  <c r="Q35" i="1"/>
  <c r="P36" i="1"/>
  <c r="F35" i="1"/>
  <c r="O36" i="1"/>
  <c r="U14" i="2" l="1"/>
  <c r="AB14" i="3"/>
  <c r="AC14" i="3"/>
  <c r="AE14" i="3" s="1"/>
  <c r="AI14" i="3" s="1"/>
  <c r="U14" i="1"/>
  <c r="AC35" i="3"/>
  <c r="M35" i="3"/>
  <c r="Z17" i="3"/>
  <c r="Q35" i="2"/>
  <c r="T23" i="2"/>
  <c r="T35" i="2" s="1"/>
  <c r="AE19" i="3"/>
  <c r="AI19" i="3" s="1"/>
  <c r="Y35" i="3"/>
  <c r="U6" i="2"/>
  <c r="AE6" i="3"/>
  <c r="U6" i="1"/>
  <c r="U35" i="1" s="1"/>
  <c r="AE17" i="3" l="1"/>
  <c r="AI17" i="3" s="1"/>
  <c r="AB23" i="3"/>
  <c r="U23" i="2"/>
  <c r="U35" i="2" s="1"/>
  <c r="K36" i="3"/>
  <c r="AI6" i="3"/>
  <c r="AE23" i="3" l="1"/>
  <c r="AI23" i="3" s="1"/>
  <c r="AB35" i="3"/>
  <c r="L36" i="3"/>
  <c r="AE57" i="3" l="1"/>
  <c r="D56" i="3"/>
  <c r="AE56" i="3"/>
  <c r="D55" i="3"/>
  <c r="AE55" i="3"/>
  <c r="D57" i="3"/>
  <c r="AI57" i="3" l="1"/>
  <c r="AE58" i="3"/>
  <c r="D58" i="3"/>
  <c r="D59" i="3" s="1"/>
  <c r="AI55" i="3"/>
  <c r="U34" i="3" l="1"/>
  <c r="U36" i="3" s="1"/>
  <c r="T35" i="3"/>
  <c r="T36" i="3" s="1"/>
  <c r="V34" i="3" l="1"/>
  <c r="V35" i="3" l="1"/>
  <c r="Z35" i="3" l="1"/>
  <c r="AI35" i="3" l="1"/>
  <c r="AE35" i="3"/>
  <c r="AE59" i="3" s="1"/>
  <c r="G30" i="2" l="1"/>
  <c r="J30" i="2" s="1"/>
  <c r="G23" i="2"/>
  <c r="J23" i="2" s="1"/>
  <c r="G32" i="2"/>
  <c r="J32" i="2" s="1"/>
  <c r="G18" i="2"/>
  <c r="J18" i="2" s="1"/>
  <c r="G22" i="2"/>
  <c r="J22" i="2" s="1"/>
  <c r="G17" i="2"/>
  <c r="J17" i="2" s="1"/>
  <c r="G34" i="2"/>
  <c r="J34" i="2" s="1"/>
  <c r="G9" i="2"/>
  <c r="J9" i="2" s="1"/>
  <c r="G15" i="2"/>
  <c r="J15" i="2" s="1"/>
  <c r="G25" i="2"/>
  <c r="J25" i="2" s="1"/>
  <c r="G24" i="2"/>
  <c r="J24" i="2" s="1"/>
  <c r="G27" i="2"/>
  <c r="J27" i="2" s="1"/>
  <c r="G16" i="2"/>
  <c r="J16" i="2" s="1"/>
  <c r="G7" i="2"/>
  <c r="J7" i="2" s="1"/>
  <c r="G28" i="2"/>
  <c r="J28" i="2" s="1"/>
  <c r="G10" i="2"/>
  <c r="J10" i="2" s="1"/>
  <c r="G21" i="2"/>
  <c r="J21" i="2" s="1"/>
  <c r="G12" i="2"/>
  <c r="J12" i="2" s="1"/>
  <c r="G26" i="2"/>
  <c r="J26" i="2" s="1"/>
  <c r="G20" i="2"/>
  <c r="J20" i="2" s="1"/>
  <c r="G33" i="2"/>
  <c r="J33" i="2" s="1"/>
  <c r="G29" i="2"/>
  <c r="J29" i="2" s="1"/>
  <c r="G11" i="2"/>
  <c r="G8" i="2"/>
  <c r="J8" i="2" s="1"/>
  <c r="G14" i="2"/>
  <c r="J14" i="2" s="1"/>
  <c r="G13" i="2"/>
  <c r="G19" i="2"/>
  <c r="J19" i="2" s="1"/>
  <c r="G6" i="2"/>
  <c r="J6" i="2" s="1"/>
  <c r="G31" i="2"/>
  <c r="J31" i="2" s="1"/>
  <c r="J35" i="2" l="1"/>
  <c r="J35" i="1"/>
  <c r="G23" i="1"/>
  <c r="J23" i="1" s="1"/>
  <c r="G30" i="1"/>
  <c r="J30" i="1" s="1"/>
  <c r="G14" i="1"/>
  <c r="J14" i="1" s="1"/>
  <c r="G15" i="1"/>
  <c r="J15" i="1" s="1"/>
  <c r="G11" i="1"/>
  <c r="G19" i="1"/>
  <c r="J19" i="1" s="1"/>
  <c r="G20" i="1"/>
  <c r="J20" i="1" s="1"/>
  <c r="G29" i="1"/>
  <c r="J29" i="1" s="1"/>
  <c r="G32" i="1"/>
  <c r="J32" i="1" s="1"/>
  <c r="G10" i="1"/>
  <c r="J10" i="1" s="1"/>
  <c r="G7" i="1"/>
  <c r="J7" i="1" s="1"/>
  <c r="G13" i="1"/>
  <c r="J13" i="1" s="1"/>
  <c r="G21" i="1"/>
  <c r="J21" i="1" s="1"/>
  <c r="G25" i="1"/>
  <c r="J25" i="1" s="1"/>
  <c r="G31" i="1"/>
  <c r="J31" i="1" s="1"/>
  <c r="G8" i="1"/>
  <c r="J8" i="1" s="1"/>
  <c r="G12" i="1"/>
  <c r="J12" i="1" s="1"/>
  <c r="G24" i="1"/>
  <c r="J24" i="1" s="1"/>
  <c r="G16" i="1"/>
  <c r="J16" i="1" s="1"/>
  <c r="G17" i="1"/>
  <c r="J17" i="1" s="1"/>
  <c r="G28" i="1"/>
  <c r="J28" i="1" s="1"/>
  <c r="G27" i="1"/>
  <c r="J27" i="1" s="1"/>
  <c r="G18" i="1"/>
  <c r="J18" i="1" s="1"/>
  <c r="G33" i="1"/>
  <c r="J33" i="1" s="1"/>
  <c r="G9" i="1"/>
  <c r="J9" i="1" s="1"/>
  <c r="G26" i="1"/>
  <c r="J26" i="1" s="1"/>
  <c r="G22" i="1"/>
  <c r="J22" i="1" s="1"/>
  <c r="G6" i="1"/>
  <c r="J6" i="1" s="1"/>
  <c r="G34" i="1"/>
  <c r="J34" i="1" s="1"/>
</calcChain>
</file>

<file path=xl/comments1.xml><?xml version="1.0" encoding="utf-8"?>
<comments xmlns="http://schemas.openxmlformats.org/spreadsheetml/2006/main">
  <authors>
    <author>Valentina Calabrese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Valentina Calabrese:</t>
        </r>
        <r>
          <rPr>
            <sz val="9"/>
            <color indexed="81"/>
            <rFont val="Tahoma"/>
            <family val="2"/>
          </rPr>
          <t xml:space="preserve">
dato come da delibera n. 916 del 6.5.2024 </t>
        </r>
      </text>
    </comment>
  </commentList>
</comments>
</file>

<file path=xl/comments2.xml><?xml version="1.0" encoding="utf-8"?>
<comments xmlns="http://schemas.openxmlformats.org/spreadsheetml/2006/main">
  <authors>
    <author>Utente</author>
  </authors>
  <commentList>
    <comment ref="L39" authorId="0" shapeId="0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caso di punteggio uguale a cavallo dei tre gruppi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>squadratura nella cella K20 da azzerare</t>
        </r>
      </text>
    </comment>
  </commentList>
</comments>
</file>

<file path=xl/sharedStrings.xml><?xml version="1.0" encoding="utf-8"?>
<sst xmlns="http://schemas.openxmlformats.org/spreadsheetml/2006/main" count="364" uniqueCount="116">
  <si>
    <t>graduatoria</t>
  </si>
  <si>
    <t>Tetto NETTO 2024 provv.rio</t>
  </si>
  <si>
    <t>cod. NSIS</t>
  </si>
  <si>
    <t>ordinamento per codice NSIS</t>
  </si>
  <si>
    <t>1/3 tetto:</t>
  </si>
  <si>
    <t>Totale Branca</t>
  </si>
  <si>
    <t>3°</t>
  </si>
  <si>
    <t>2°</t>
  </si>
  <si>
    <t>1°</t>
  </si>
  <si>
    <t>€ VMP</t>
  </si>
  <si>
    <t>Denominazione struttura erogatrice</t>
  </si>
  <si>
    <t>NSIS_23</t>
  </si>
  <si>
    <t>OLTRE il 10% di extra tetto</t>
  </si>
  <si>
    <t>entro il 10% di extra tetto</t>
  </si>
  <si>
    <t>entro il tetto di spesa</t>
  </si>
  <si>
    <t>(1°: + 3%;   2°: 0%;   3°: -3%)</t>
  </si>
  <si>
    <t>Graduatoria</t>
  </si>
  <si>
    <t>Tetto NETTO 2023</t>
  </si>
  <si>
    <t>codice NSIS</t>
  </si>
  <si>
    <t>Branca: _______________________</t>
  </si>
  <si>
    <t>NETTO LIQUIDABILE (prima della RTU)</t>
  </si>
  <si>
    <t>Formazione dei tre Gruppi</t>
  </si>
  <si>
    <t>Cons.vo 2023 NETTO Liquidato</t>
  </si>
  <si>
    <t>Tetto di spesa NETTA 2023</t>
  </si>
  <si>
    <t>valore teorico massimo di produzione
COM x VMP</t>
  </si>
  <si>
    <t>C.O.M. vigente dal 01.01.2024</t>
  </si>
  <si>
    <t>VMP cons.vo 2023</t>
  </si>
  <si>
    <t>Classe VMP per il 2023</t>
  </si>
  <si>
    <t>ASL:</t>
  </si>
  <si>
    <t>Cons.vo 2022 NETTO Liquidato</t>
  </si>
  <si>
    <t>Tetto di spesa NETTA 2022</t>
  </si>
  <si>
    <t>C.O.M. vigente dal 01.01.2023</t>
  </si>
  <si>
    <t>VMP cons.vo 2022</t>
  </si>
  <si>
    <t>punteggio Indicatori</t>
  </si>
  <si>
    <t>come era (corretto)</t>
  </si>
  <si>
    <t>Classe VMP per il 2024</t>
  </si>
  <si>
    <t>INDICE di col. 10</t>
  </si>
  <si>
    <t>Modifica del tetto NETTO 2023</t>
  </si>
  <si>
    <t>ordinamento per INDICE</t>
  </si>
  <si>
    <t>Modifica del tetto NETTO 2024</t>
  </si>
  <si>
    <t>INDICE: Tetto 2024 Teorico vs Tetto 2023 e Liquidato 2023 (2)</t>
  </si>
  <si>
    <t>INDICE: Tetto 2023 Teorico vs Tetto 2022 e Liquidato 2022 (2)</t>
  </si>
  <si>
    <t>Tetto TEORICO 2023
(1)</t>
  </si>
  <si>
    <t>Tetto Teorico 2024
(1)</t>
  </si>
  <si>
    <t>"TETTO BASE" 2023: importi ordinati x NSIS</t>
  </si>
  <si>
    <t>NSIS</t>
  </si>
  <si>
    <t>NETTO 2023 col. 12</t>
  </si>
  <si>
    <t>modifica da col. 17</t>
  </si>
  <si>
    <t>BASE 2023
col. 12 + 17</t>
  </si>
  <si>
    <t>"TETTO BASE" 2024: importi ordinati x NSIS</t>
  </si>
  <si>
    <t>NETTO 2024 col. 12</t>
  </si>
  <si>
    <t>BASE 2024
col. 12 + 17</t>
  </si>
  <si>
    <t>Variazione per Indicatori di Performance sui dati di attività del 2022 e del 2023</t>
  </si>
  <si>
    <t>Tetto BASE 2023</t>
  </si>
  <si>
    <t>Tetto BASE 2024</t>
  </si>
  <si>
    <t>Tetto Netto 2024 provv.rio (DGRC 800/23)</t>
  </si>
  <si>
    <t>25 = 21+...+24</t>
  </si>
  <si>
    <t>Variaz % totale vs Tetto di spesa NETTA 2024 provv.rio</t>
  </si>
  <si>
    <t>ordinamento in base al punteggio Indicatori di Performance sui dati consuntivi 2023</t>
  </si>
  <si>
    <t>ordinamento in base al punteggio Indicatori di Performance sui dati consuntivi 2022</t>
  </si>
  <si>
    <t>Punteggio Indicatori di Performance</t>
  </si>
  <si>
    <t>da col. 11
"per il 2023"</t>
  </si>
  <si>
    <t>da col. 19:
"per il 2024"</t>
  </si>
  <si>
    <t>Ordinamento per codice NSIS</t>
  </si>
  <si>
    <t>TOTALE variazioni
"per il 2023"
più
"per il 2024"</t>
  </si>
  <si>
    <t>Variazione del Tetto base "per il 2023": da RAD_01 col. 20</t>
  </si>
  <si>
    <t>Variazione del Tetto base "per il 2024": da RAD_02 col. 20</t>
  </si>
  <si>
    <t>ordinamento in base all'INDICE</t>
  </si>
  <si>
    <t>Variazione da applicare sul tetto BASE 2023</t>
  </si>
  <si>
    <t>Variazione da applicare sul tetto BASE 2024</t>
  </si>
  <si>
    <t>(2) Importo di col. 7 diviso per la media semplice degli importi di col. 8 e 9, purchè siano valorizzati entrambi: altrimenti, diviso l'unico imprto valorizzato. Se mancano entrambi, si ha: "n.v." = NON VALORIZZATO</t>
  </si>
  <si>
    <t>(1) Importi di col. 6 rapportati al Tetto Netto complessivo della branca per il 2024, esposto nel rigo di Totale</t>
  </si>
  <si>
    <t>n.v.</t>
  </si>
  <si>
    <t>Subtot con variaz finale (+)</t>
  </si>
  <si>
    <t>Subtot con variaz finale (=)</t>
  </si>
  <si>
    <t>Subtot con variaz finale (-)</t>
  </si>
  <si>
    <t>(1°: + 2%;   2°: 0%;   3°: -2%)</t>
  </si>
  <si>
    <t>CLINICA MEDITERRANEA SPA  (LABORATORIO DI ANALISI)</t>
  </si>
  <si>
    <t>CLINIC CENTER S.P.A. - (CENTRO DI RIABILITAZIONE EX ART. 44 )</t>
  </si>
  <si>
    <t>HERMITAGE CAPODIMONTE SPA</t>
  </si>
  <si>
    <t>CENTRO MEDICO CAMPANO S.R.L.</t>
  </si>
  <si>
    <t>CENTRO POLIDIAGNOSTICO PERSICO PRIMI S.R.L. - (CENTRO DI RIABILITAZIONE EX ART. 44)</t>
  </si>
  <si>
    <t>AMB384</t>
  </si>
  <si>
    <t>CENTRO MULTIMEDICO AMBROSIO SRL</t>
  </si>
  <si>
    <t>ROTONDI SERRA</t>
  </si>
  <si>
    <t>STUDIO OCULISTICO E POLISPECIALISTICO DOTT. M. TISO S.A.S.</t>
  </si>
  <si>
    <t>CENTRO OCULISTICO BENUSIGLIO S.N.C.</t>
  </si>
  <si>
    <t>DR. FROJO MAURO</t>
  </si>
  <si>
    <t>OPTEUSO S.A.S.</t>
  </si>
  <si>
    <t>ISTITUTO PARTENOPEO DI RIABILITAZIONE S.R.L. - 460136</t>
  </si>
  <si>
    <t>CUTIS S.AS.</t>
  </si>
  <si>
    <t>D.T.O. S.A.S.</t>
  </si>
  <si>
    <t>S. APOLLONIA S.A.S.</t>
  </si>
  <si>
    <t>SAN STANISLAO S.A.S.</t>
  </si>
  <si>
    <t>VALDENT S.A.S.</t>
  </si>
  <si>
    <t>CENTRO ODONTOSTOMAT. BAMONTE S.A.S DI ALESSANDRO VITI S.A.S.</t>
  </si>
  <si>
    <t>EMMECI S.N.C. DI M. MAISTO &amp; C</t>
  </si>
  <si>
    <t>CENTRO NEUROLOGICO TERRITORIALE S.A.S.</t>
  </si>
  <si>
    <t>CENTRO DENTISTICO CAMPANO S.T.P. SRL</t>
  </si>
  <si>
    <t>DOTT. SANGIOVANNI PAOLA</t>
  </si>
  <si>
    <t>DENTAL IGEA  SRS</t>
  </si>
  <si>
    <t>CENTRO ODONTOIATRICO DR.F.SELLITTI</t>
  </si>
  <si>
    <t>G.M.P. SRL</t>
  </si>
  <si>
    <t>CENTRO ODONTOSTOMATOLOGICO CERASUOLO SAS</t>
  </si>
  <si>
    <t>FUTURA S.R.L. DI ALDO MARRA</t>
  </si>
  <si>
    <t>AMB484</t>
  </si>
  <si>
    <t>Fondazione S. Maria della Misericordia</t>
  </si>
  <si>
    <t>AMB489</t>
  </si>
  <si>
    <t>NOVOFAT srl Società tra professionisti</t>
  </si>
  <si>
    <t xml:space="preserve">ISTITUTO NEURODIAGNOSTICO VAIA DI SEBASTIANO VAIA  C. S.A.S. </t>
  </si>
  <si>
    <t>importi da compilare</t>
  </si>
  <si>
    <r>
      <t xml:space="preserve">Tetto Base 2023 da:
</t>
    </r>
    <r>
      <rPr>
        <b/>
        <sz val="8"/>
        <color theme="1"/>
        <rFont val="Calibri"/>
        <family val="2"/>
        <scheme val="minor"/>
      </rPr>
      <t xml:space="preserve"> BV_01 col 21</t>
    </r>
  </si>
  <si>
    <r>
      <t xml:space="preserve">Tetto Base 2024 da:
</t>
    </r>
    <r>
      <rPr>
        <b/>
        <sz val="8"/>
        <color theme="1"/>
        <rFont val="Calibri"/>
        <family val="2"/>
        <scheme val="minor"/>
      </rPr>
      <t xml:space="preserve"> BV_02 col 21</t>
    </r>
  </si>
  <si>
    <t>Napoli 1 Centro</t>
  </si>
  <si>
    <t>Branca a visita</t>
  </si>
  <si>
    <t>BRANCA A VISITA: conteggio del "tetto BASE" 2023 in relazione alla COM al 01.01.2023 e al TETTO e alla produzione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</si>
</sst>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00000"/>
    <numFmt numFmtId="165" formatCode="#,##0.000"/>
    <numFmt numFmtId="166" formatCode="0.0%"/>
    <numFmt numFmtId="167" formatCode="#,##0.0000"/>
    <numFmt numFmtId="168" formatCode="_-* #,##0_-;\-* #,##0_-;_-* &quot;-&quot;??_-;_-@_-"/>
    <numFmt numFmtId="169" formatCode="[$-410]General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169" fontId="25" fillId="0" borderId="0"/>
  </cellStyleXfs>
  <cellXfs count="169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3" fontId="0" fillId="0" borderId="1" xfId="1" applyNumberFormat="1" applyFont="1" applyFill="1" applyBorder="1"/>
    <xf numFmtId="3" fontId="0" fillId="2" borderId="0" xfId="0" applyNumberFormat="1" applyFill="1" applyAlignment="1">
      <alignment horizontal="center"/>
    </xf>
    <xf numFmtId="3" fontId="0" fillId="0" borderId="0" xfId="1" applyNumberFormat="1" applyFont="1" applyFill="1"/>
    <xf numFmtId="3" fontId="4" fillId="0" borderId="0" xfId="0" applyNumberFormat="1" applyFont="1" applyFill="1"/>
    <xf numFmtId="3" fontId="3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9" fontId="0" fillId="0" borderId="0" xfId="1" applyFont="1"/>
    <xf numFmtId="3" fontId="2" fillId="2" borderId="0" xfId="0" applyNumberFormat="1" applyFont="1" applyFill="1"/>
    <xf numFmtId="3" fontId="0" fillId="0" borderId="0" xfId="0" quotePrefix="1" applyNumberFormat="1" applyAlignment="1">
      <alignment horizontal="right"/>
    </xf>
    <xf numFmtId="3" fontId="8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3" fontId="0" fillId="0" borderId="1" xfId="0" applyNumberFormat="1" applyBorder="1"/>
    <xf numFmtId="3" fontId="0" fillId="4" borderId="1" xfId="1" applyNumberFormat="1" applyFont="1" applyFill="1" applyBorder="1"/>
    <xf numFmtId="3" fontId="0" fillId="5" borderId="1" xfId="1" applyNumberFormat="1" applyFont="1" applyFill="1" applyBorder="1"/>
    <xf numFmtId="4" fontId="4" fillId="6" borderId="1" xfId="0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left"/>
    </xf>
    <xf numFmtId="3" fontId="4" fillId="0" borderId="0" xfId="0" applyNumberFormat="1" applyFont="1"/>
    <xf numFmtId="3" fontId="0" fillId="4" borderId="0" xfId="0" applyNumberFormat="1" applyFill="1"/>
    <xf numFmtId="3" fontId="0" fillId="5" borderId="0" xfId="0" applyNumberFormat="1" applyFill="1"/>
    <xf numFmtId="3" fontId="0" fillId="5" borderId="0" xfId="0" applyNumberForma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0" fillId="2" borderId="0" xfId="0" quotePrefix="1" applyNumberFormat="1" applyFill="1"/>
    <xf numFmtId="3" fontId="0" fillId="0" borderId="0" xfId="0" applyNumberFormat="1" applyFill="1"/>
    <xf numFmtId="9" fontId="8" fillId="2" borderId="1" xfId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3" fontId="14" fillId="0" borderId="10" xfId="0" applyNumberFormat="1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left"/>
    </xf>
    <xf numFmtId="3" fontId="3" fillId="4" borderId="0" xfId="0" applyNumberFormat="1" applyFont="1" applyFill="1"/>
    <xf numFmtId="0" fontId="17" fillId="4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left" vertical="top"/>
    </xf>
    <xf numFmtId="167" fontId="8" fillId="2" borderId="0" xfId="0" applyNumberFormat="1" applyFont="1" applyFill="1"/>
    <xf numFmtId="9" fontId="0" fillId="0" borderId="1" xfId="1" applyFont="1" applyBorder="1" applyAlignment="1">
      <alignment horizontal="center"/>
    </xf>
    <xf numFmtId="3" fontId="3" fillId="7" borderId="1" xfId="0" applyNumberFormat="1" applyFont="1" applyFill="1" applyBorder="1"/>
    <xf numFmtId="9" fontId="0" fillId="0" borderId="0" xfId="1" applyFont="1" applyAlignment="1">
      <alignment horizontal="center"/>
    </xf>
    <xf numFmtId="9" fontId="3" fillId="0" borderId="0" xfId="1" applyFont="1" applyAlignment="1">
      <alignment horizontal="center"/>
    </xf>
    <xf numFmtId="164" fontId="20" fillId="0" borderId="0" xfId="0" applyNumberFormat="1" applyFont="1" applyAlignment="1">
      <alignment horizontal="left" vertical="top"/>
    </xf>
    <xf numFmtId="3" fontId="10" fillId="0" borderId="0" xfId="0" applyNumberFormat="1" applyFont="1"/>
    <xf numFmtId="3" fontId="16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0" fontId="17" fillId="5" borderId="1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3" fontId="16" fillId="4" borderId="1" xfId="0" applyNumberFormat="1" applyFont="1" applyFill="1" applyBorder="1" applyAlignment="1">
      <alignment horizontal="center" vertical="center" wrapText="1"/>
    </xf>
    <xf numFmtId="3" fontId="0" fillId="4" borderId="0" xfId="0" quotePrefix="1" applyNumberFormat="1" applyFill="1"/>
    <xf numFmtId="3" fontId="7" fillId="0" borderId="14" xfId="0" applyNumberFormat="1" applyFont="1" applyBorder="1" applyAlignment="1">
      <alignment horizontal="left" vertical="center"/>
    </xf>
    <xf numFmtId="3" fontId="7" fillId="0" borderId="9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14" fillId="0" borderId="9" xfId="0" applyNumberFormat="1" applyFont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0" fillId="5" borderId="7" xfId="0" applyNumberFormat="1" applyFill="1" applyBorder="1"/>
    <xf numFmtId="3" fontId="3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12" fillId="0" borderId="14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164" fontId="3" fillId="0" borderId="0" xfId="0" quotePrefix="1" applyNumberFormat="1" applyFont="1" applyAlignment="1">
      <alignment horizontal="left"/>
    </xf>
    <xf numFmtId="3" fontId="0" fillId="0" borderId="1" xfId="0" applyNumberFormat="1" applyFont="1" applyBorder="1" applyAlignment="1">
      <alignment horizontal="center"/>
    </xf>
    <xf numFmtId="3" fontId="0" fillId="0" borderId="0" xfId="0" quotePrefix="1" applyNumberFormat="1"/>
    <xf numFmtId="166" fontId="0" fillId="0" borderId="0" xfId="1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168" fontId="0" fillId="0" borderId="0" xfId="3" applyNumberFormat="1" applyFont="1" applyFill="1"/>
    <xf numFmtId="168" fontId="0" fillId="0" borderId="0" xfId="3" applyNumberFormat="1" applyFont="1" applyFill="1" applyAlignment="1">
      <alignment horizontal="center"/>
    </xf>
    <xf numFmtId="43" fontId="0" fillId="5" borderId="0" xfId="3" applyFont="1" applyFill="1"/>
    <xf numFmtId="43" fontId="0" fillId="5" borderId="0" xfId="3" applyFont="1" applyFill="1" applyAlignment="1">
      <alignment horizontal="center" wrapText="1"/>
    </xf>
    <xf numFmtId="43" fontId="0" fillId="5" borderId="0" xfId="3" applyFont="1" applyFill="1" applyAlignment="1">
      <alignment horizontal="center"/>
    </xf>
    <xf numFmtId="4" fontId="0" fillId="5" borderId="1" xfId="1" applyNumberFormat="1" applyFont="1" applyFill="1" applyBorder="1"/>
    <xf numFmtId="4" fontId="2" fillId="2" borderId="0" xfId="0" applyNumberFormat="1" applyFont="1" applyFill="1"/>
    <xf numFmtId="43" fontId="0" fillId="4" borderId="1" xfId="3" applyFont="1" applyFill="1" applyBorder="1"/>
    <xf numFmtId="164" fontId="24" fillId="0" borderId="1" xfId="0" applyNumberFormat="1" applyFont="1" applyFill="1" applyBorder="1" applyAlignment="1">
      <alignment horizontal="left"/>
    </xf>
    <xf numFmtId="165" fontId="0" fillId="0" borderId="0" xfId="0" applyNumberFormat="1"/>
    <xf numFmtId="3" fontId="17" fillId="2" borderId="10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0" fontId="23" fillId="0" borderId="0" xfId="0" applyFont="1" applyFill="1" applyAlignment="1">
      <alignment vertical="center"/>
    </xf>
    <xf numFmtId="167" fontId="8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4" fontId="0" fillId="0" borderId="0" xfId="0" applyNumberFormat="1" applyFill="1"/>
    <xf numFmtId="167" fontId="8" fillId="0" borderId="0" xfId="0" applyNumberFormat="1" applyFont="1" applyFill="1"/>
    <xf numFmtId="43" fontId="0" fillId="0" borderId="1" xfId="3" applyFont="1" applyBorder="1"/>
    <xf numFmtId="43" fontId="0" fillId="0" borderId="0" xfId="3" applyFont="1"/>
    <xf numFmtId="0" fontId="0" fillId="3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4" fontId="4" fillId="0" borderId="0" xfId="0" applyNumberFormat="1" applyFont="1"/>
    <xf numFmtId="3" fontId="4" fillId="6" borderId="0" xfId="0" applyNumberFormat="1" applyFont="1" applyFill="1"/>
    <xf numFmtId="0" fontId="0" fillId="0" borderId="0" xfId="0" applyNumberFormat="1" applyAlignment="1">
      <alignment horizontal="center"/>
    </xf>
    <xf numFmtId="43" fontId="0" fillId="0" borderId="0" xfId="0" applyNumberFormat="1"/>
    <xf numFmtId="0" fontId="0" fillId="0" borderId="0" xfId="0" applyFill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wrapText="1"/>
    </xf>
    <xf numFmtId="168" fontId="0" fillId="0" borderId="0" xfId="3" applyNumberFormat="1" applyFont="1" applyFill="1" applyAlignment="1">
      <alignment horizontal="right"/>
    </xf>
    <xf numFmtId="3" fontId="12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/>
    </xf>
    <xf numFmtId="3" fontId="13" fillId="0" borderId="7" xfId="2" applyNumberFormat="1" applyFont="1" applyFill="1" applyBorder="1" applyAlignment="1">
      <alignment horizontal="center" vertical="center" wrapText="1"/>
    </xf>
    <xf numFmtId="3" fontId="13" fillId="0" borderId="8" xfId="2" applyNumberFormat="1" applyFont="1" applyFill="1" applyBorder="1" applyAlignment="1">
      <alignment horizontal="center" vertical="center" wrapText="1"/>
    </xf>
    <xf numFmtId="3" fontId="13" fillId="0" borderId="4" xfId="2" applyNumberFormat="1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wrapText="1"/>
    </xf>
    <xf numFmtId="3" fontId="10" fillId="0" borderId="3" xfId="0" applyNumberFormat="1" applyFont="1" applyBorder="1" applyAlignment="1">
      <alignment horizontal="center" wrapText="1"/>
    </xf>
    <xf numFmtId="3" fontId="16" fillId="3" borderId="13" xfId="0" applyNumberFormat="1" applyFont="1" applyFill="1" applyBorder="1" applyAlignment="1">
      <alignment horizontal="center" vertical="center" wrapText="1"/>
    </xf>
    <xf numFmtId="3" fontId="16" fillId="3" borderId="12" xfId="0" applyNumberFormat="1" applyFont="1" applyFill="1" applyBorder="1" applyAlignment="1">
      <alignment horizontal="center" vertical="center" wrapText="1"/>
    </xf>
    <xf numFmtId="3" fontId="16" fillId="3" borderId="11" xfId="0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14" fillId="4" borderId="15" xfId="0" applyNumberFormat="1" applyFont="1" applyFill="1" applyBorder="1" applyAlignment="1">
      <alignment horizontal="center" vertical="center" wrapText="1"/>
    </xf>
    <xf numFmtId="3" fontId="14" fillId="4" borderId="16" xfId="0" applyNumberFormat="1" applyFont="1" applyFill="1" applyBorder="1" applyAlignment="1">
      <alignment horizontal="center" vertical="center" wrapText="1"/>
    </xf>
    <xf numFmtId="3" fontId="14" fillId="4" borderId="17" xfId="0" applyNumberFormat="1" applyFont="1" applyFill="1" applyBorder="1" applyAlignment="1">
      <alignment horizontal="center" vertical="center" wrapText="1"/>
    </xf>
    <xf numFmtId="3" fontId="14" fillId="4" borderId="18" xfId="0" applyNumberFormat="1" applyFont="1" applyFill="1" applyBorder="1" applyAlignment="1">
      <alignment horizontal="center" vertical="center" wrapText="1"/>
    </xf>
    <xf numFmtId="3" fontId="14" fillId="4" borderId="19" xfId="0" applyNumberFormat="1" applyFont="1" applyFill="1" applyBorder="1" applyAlignment="1">
      <alignment horizontal="center" vertical="center" wrapText="1"/>
    </xf>
    <xf numFmtId="3" fontId="14" fillId="4" borderId="20" xfId="0" applyNumberFormat="1" applyFont="1" applyFill="1" applyBorder="1" applyAlignment="1">
      <alignment horizontal="center" vertical="center" wrapText="1"/>
    </xf>
    <xf numFmtId="3" fontId="12" fillId="5" borderId="10" xfId="0" applyNumberFormat="1" applyFont="1" applyFill="1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 wrapText="1"/>
    </xf>
    <xf numFmtId="3" fontId="12" fillId="5" borderId="14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wrapText="1"/>
    </xf>
    <xf numFmtId="3" fontId="15" fillId="5" borderId="1" xfId="0" applyNumberFormat="1" applyFont="1" applyFill="1" applyBorder="1" applyAlignment="1">
      <alignment horizontal="center"/>
    </xf>
    <xf numFmtId="3" fontId="12" fillId="5" borderId="7" xfId="0" applyNumberFormat="1" applyFont="1" applyFill="1" applyBorder="1" applyAlignment="1">
      <alignment horizontal="center"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wrapText="1"/>
    </xf>
    <xf numFmtId="3" fontId="7" fillId="3" borderId="21" xfId="0" applyNumberFormat="1" applyFont="1" applyFill="1" applyBorder="1" applyAlignment="1">
      <alignment horizontal="center"/>
    </xf>
    <xf numFmtId="3" fontId="7" fillId="3" borderId="22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horizontal="center" vertical="center" wrapText="1"/>
    </xf>
    <xf numFmtId="3" fontId="3" fillId="3" borderId="23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wrapText="1"/>
    </xf>
    <xf numFmtId="3" fontId="10" fillId="0" borderId="2" xfId="0" applyNumberFormat="1" applyFont="1" applyBorder="1" applyAlignment="1">
      <alignment horizontal="center" wrapText="1"/>
    </xf>
    <xf numFmtId="3" fontId="10" fillId="0" borderId="10" xfId="0" applyNumberFormat="1" applyFont="1" applyBorder="1" applyAlignment="1">
      <alignment horizontal="center" wrapText="1"/>
    </xf>
    <xf numFmtId="3" fontId="10" fillId="0" borderId="24" xfId="0" applyNumberFormat="1" applyFont="1" applyBorder="1" applyAlignment="1">
      <alignment horizontal="center" wrapText="1"/>
    </xf>
    <xf numFmtId="3" fontId="17" fillId="2" borderId="10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3" fontId="12" fillId="5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3" fontId="12" fillId="0" borderId="16" xfId="0" applyNumberFormat="1" applyFont="1" applyFill="1" applyBorder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3" fontId="12" fillId="0" borderId="19" xfId="0" applyNumberFormat="1" applyFont="1" applyFill="1" applyBorder="1" applyAlignment="1">
      <alignment horizontal="center" vertical="center" wrapText="1"/>
    </xf>
    <xf numFmtId="3" fontId="12" fillId="0" borderId="20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</cellXfs>
  <cellStyles count="5">
    <cellStyle name="Excel Built-in Normal" xfId="4"/>
    <cellStyle name="Migliaia" xfId="3" builtinId="3"/>
    <cellStyle name="Normale" xfId="0" builtinId="0"/>
    <cellStyle name="Normale_ALLEGATO n. 1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Zazzaro\Documenti\OO.SS.%20e%20Associaz_6216\PIANO%202011\AIOP\ACCORDO%2022-6-2011\Decreto%20n.%2084%20del%2020.12.2011\Allegato%20n.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zio.cartalemi/Desktop/Tetti%202025/DGRC_n._757_del_27dic2024_TAB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ato 2"/>
      <sheetName val="proiez 2011"/>
      <sheetName val="allegato 3 calcoli ARSan alta s"/>
      <sheetName val="calcoli terapie intensive"/>
      <sheetName val="calcoli riabilitazione"/>
      <sheetName val="calcoli ARSan alta specialità"/>
      <sheetName val="ESITO 2010"/>
      <sheetName val="Casa di cura Cobellis"/>
    </sheetNames>
    <sheetDataSet>
      <sheetData sheetId="0">
        <row r="1">
          <cell r="B1" t="str">
            <v>Importi in EURO</v>
          </cell>
        </row>
      </sheetData>
      <sheetData sheetId="1">
        <row r="1">
          <cell r="B1" t="str">
            <v>Importi in EURO</v>
          </cell>
        </row>
      </sheetData>
      <sheetData sheetId="2"/>
      <sheetData sheetId="3">
        <row r="1">
          <cell r="B1" t="str">
            <v>Importi in EURO</v>
          </cell>
        </row>
      </sheetData>
      <sheetData sheetId="4">
        <row r="1">
          <cell r="B1" t="str">
            <v>Importi in EURO</v>
          </cell>
        </row>
      </sheetData>
      <sheetData sheetId="5">
        <row r="1">
          <cell r="B1" t="str">
            <v>Importi in EURO</v>
          </cell>
        </row>
      </sheetData>
      <sheetData sheetId="6">
        <row r="1">
          <cell r="B1" t="str">
            <v>Importi in EURO</v>
          </cell>
        </row>
        <row r="2">
          <cell r="A2" t="str">
            <v>Codice NSIS</v>
          </cell>
          <cell r="B2" t="str">
            <v>Assistenza Ospedaliera erogata dalle Case di Cura private</v>
          </cell>
          <cell r="D2" t="str">
            <v>Passaggio di fascia in corso di verifica (ex decreto n. 65/2010)</v>
          </cell>
          <cell r="E2" t="str">
            <v>Fatturato 2010</v>
          </cell>
          <cell r="F2" t="str">
            <v>Conguagli per passaggi di fascia: decreto n° 62 del 22/8/2011</v>
          </cell>
          <cell r="G2" t="str">
            <v>Contestazioni sulle tariffe</v>
          </cell>
          <cell r="H2" t="str">
            <v>Abbattimenti per superamento soglie</v>
          </cell>
          <cell r="I2" t="str">
            <v>Altre contestazioni per controlli ecc.</v>
          </cell>
          <cell r="J2" t="str">
            <v>Abbattimento dei conguagli di col. (B) in proporzione alle riduzioni di col. (D) ed (E)</v>
          </cell>
          <cell r="K2" t="str">
            <v>NOTE</v>
          </cell>
          <cell r="L2" t="str">
            <v>Fatturato 2010 al netto dei controlli (dati ASL al 9/11/2011)</v>
          </cell>
          <cell r="M2" t="str">
            <v>TETTO 2010 (decreto n. 65 del 22/10/2011)</v>
          </cell>
          <cell r="N2" t="str">
            <v>Fatturato riconoscibile ma eccedente il tetto di spesa</v>
          </cell>
          <cell r="O2" t="str">
            <v>tetto non utilizzato, disponibile per compensazione regionale</v>
          </cell>
          <cell r="P2" t="str">
            <v>Compensazione Regionale ai sensi del decreto 65/2010</v>
          </cell>
          <cell r="Q2" t="str">
            <v>Regressione tariffaria dopo compensazione regionale</v>
          </cell>
          <cell r="R2" t="str">
            <v>Note Credito da emettere vs. la ASL competente (per regressione tariffaria)</v>
          </cell>
          <cell r="S2" t="str">
            <v>Note Credito da emettere vs. la Regione Campania (eventuali)</v>
          </cell>
          <cell r="V2" t="str">
            <v>Tetto di spesa 2011 DCA 23/2011</v>
          </cell>
          <cell r="W2" t="str">
            <v>% Tetto 2011 / Fatturato al netto dei controlli 2010</v>
          </cell>
          <cell r="X2" t="str">
            <v>differenza addendum=(fatturato lordo 2010-Tetto 2010 )*20% per cambio fascia</v>
          </cell>
          <cell r="Y2" t="str">
            <v>riabilitazione</v>
          </cell>
          <cell r="Z2" t="str">
            <v>alta spec</v>
          </cell>
          <cell r="AA2" t="str">
            <v>*Tetto 2011&lt;80% del fatturato al netto dei controlli 2010 si dà il tetto 2010</v>
          </cell>
          <cell r="AB2" t="str">
            <v>integrazione per lavori</v>
          </cell>
          <cell r="AC2" t="str">
            <v>terapie intensive P.L.</v>
          </cell>
          <cell r="AD2" t="str">
            <v>UTIC P.L.</v>
          </cell>
          <cell r="AE2" t="str">
            <v>TIN P.L.</v>
          </cell>
          <cell r="AF2" t="str">
            <v>totale</v>
          </cell>
          <cell r="AG2" t="str">
            <v>importo per terapie intensive</v>
          </cell>
          <cell r="AH2" t="str">
            <v>NUOVO TETTO 2011</v>
          </cell>
          <cell r="AI2" t="str">
            <v>% Nuovo Tetto 2011 / Fatturato liquidabile 2010</v>
          </cell>
          <cell r="AJ2" t="str">
            <v xml:space="preserve"> ipotesi AIOP</v>
          </cell>
          <cell r="AK2" t="str">
            <v>differenza con ipotesi AIOP</v>
          </cell>
        </row>
        <row r="4">
          <cell r="B4" t="str">
            <v>Casa di Cura Villa Esther S.p.A.</v>
          </cell>
        </row>
        <row r="5">
          <cell r="B5" t="str">
            <v>Casa di Cura Villa Maria s.r.l. Baiano</v>
          </cell>
        </row>
        <row r="6">
          <cell r="B6" t="str">
            <v>Casa di Cura S.Rita S.p.A.</v>
          </cell>
        </row>
        <row r="7">
          <cell r="B7" t="str">
            <v>Villa Julie s.r.l. Casa di Cura Villa Maria Mirabella</v>
          </cell>
        </row>
        <row r="8">
          <cell r="B8" t="str">
            <v>Casa di Cura Villa dei Pini S.p.A.</v>
          </cell>
        </row>
        <row r="9">
          <cell r="B9" t="str">
            <v>Casa di Cura Privata Montevergine S.p.A.</v>
          </cell>
        </row>
        <row r="10">
          <cell r="B10" t="str">
            <v>Casa di Cura Privata Malzoni-Villa dei Platani S.p.A.</v>
          </cell>
        </row>
        <row r="11">
          <cell r="B11" t="str">
            <v>TOTALE</v>
          </cell>
        </row>
        <row r="14">
          <cell r="B14" t="str">
            <v>Casa di Cura GE.P.O.S. s.r.l.</v>
          </cell>
        </row>
        <row r="15">
          <cell r="B15" t="str">
            <v>Casa di Cura Nuova Clinica S.Rita S.p.A.</v>
          </cell>
        </row>
        <row r="16">
          <cell r="B16" t="str">
            <v>Casa di cura San Francesco</v>
          </cell>
        </row>
        <row r="17">
          <cell r="B17" t="str">
            <v>C.M.R. S.p.A. Centro Medico Diagnostico e Riabilitaz.</v>
          </cell>
        </row>
        <row r="18">
          <cell r="B18" t="str">
            <v>Casa di Cura Privata Villa Margherita s.r.l.</v>
          </cell>
        </row>
        <row r="19">
          <cell r="B19" t="str">
            <v>TOTALE</v>
          </cell>
        </row>
        <row r="22">
          <cell r="B22" t="str">
            <v>Clinica Sant'Anna s.r.l.</v>
          </cell>
        </row>
        <row r="23">
          <cell r="B23" t="str">
            <v>Casa di Cura Villa Del Sole S.p.A.</v>
          </cell>
        </row>
        <row r="24">
          <cell r="B24" t="str">
            <v>Casa di Cura Villa Fiorita - Aversa S.p.A.</v>
          </cell>
        </row>
        <row r="25">
          <cell r="B25" t="str">
            <v xml:space="preserve">Casa di Cura Alba Clinica S.Paolo </v>
          </cell>
        </row>
        <row r="26">
          <cell r="B26" t="str">
            <v>Casa di Cura Villa Fiorita S.p.A. (Capua)</v>
          </cell>
        </row>
        <row r="27">
          <cell r="B27" t="str">
            <v>Clinica  San Michele s.r.l.</v>
          </cell>
        </row>
        <row r="28">
          <cell r="B28" t="str">
            <v>Casa di Cura  Pineta Grande S.p.A.</v>
          </cell>
        </row>
        <row r="29">
          <cell r="B29" t="str">
            <v xml:space="preserve">Minerva S.p.A. Casa di Cura S. Maria della Salute </v>
          </cell>
        </row>
        <row r="30">
          <cell r="B30" t="str">
            <v>Casa di Cura Villa Dei Pini Atena S.p.A.</v>
          </cell>
        </row>
        <row r="31">
          <cell r="B31" t="str">
            <v>Casa di Cura Villa Ortensia CALES s.r.l.</v>
          </cell>
        </row>
        <row r="32">
          <cell r="B32" t="str">
            <v>GE.IS. s.r.l. Casa di Cura Villa degli Ulivi</v>
          </cell>
        </row>
        <row r="33">
          <cell r="B33" t="str">
            <v>Casa di Cura Villa Delle Magnolie Rerif s.r.l.</v>
          </cell>
        </row>
        <row r="34">
          <cell r="B34" t="str">
            <v>Clinica Padre Pio s.r.l.</v>
          </cell>
        </row>
        <row r="35">
          <cell r="B35" t="str">
            <v>TOTALE</v>
          </cell>
        </row>
        <row r="38">
          <cell r="B38" t="str">
            <v>Casa di Cura Ospedale Internazionale</v>
          </cell>
        </row>
        <row r="39">
          <cell r="B39" t="str">
            <v>Clinica VILLALBA</v>
          </cell>
        </row>
        <row r="40">
          <cell r="B40" t="str">
            <v xml:space="preserve">Alma Mater S.p.A. Casa di Cura Villa Camaldoli </v>
          </cell>
        </row>
        <row r="41">
          <cell r="B41" t="str">
            <v xml:space="preserve">Casa di Cura Villa Angela </v>
          </cell>
        </row>
        <row r="42">
          <cell r="B42" t="str">
            <v>Casa di Cura Clinic Center  S.p.A.</v>
          </cell>
        </row>
        <row r="43">
          <cell r="B43" t="str">
            <v>Casa di Cura Villa Russo</v>
          </cell>
        </row>
        <row r="44">
          <cell r="B44" t="str">
            <v>Casa di Cura Hermitage Capodimonte S.p.A. Colucci</v>
          </cell>
        </row>
        <row r="45">
          <cell r="B45" t="str">
            <v>Casa di Cura Villa Delle Querce</v>
          </cell>
        </row>
        <row r="46">
          <cell r="B46" t="str">
            <v>Clinica Vesuvio s.r.l.</v>
          </cell>
        </row>
        <row r="47">
          <cell r="B47" t="str">
            <v>Casa di Cura Mediterranea S.p.A.</v>
          </cell>
        </row>
        <row r="48">
          <cell r="B48" t="str">
            <v>Clinica Santa Patrizia</v>
          </cell>
        </row>
        <row r="49">
          <cell r="B49" t="str">
            <v>Casa di Cura Villa Cinzia</v>
          </cell>
        </row>
        <row r="50">
          <cell r="B50" t="str">
            <v>Casa di Cura Villa Bianca S.p.A. (ex Tasso)</v>
          </cell>
        </row>
        <row r="51">
          <cell r="B51" t="str">
            <v>Clinica Sanatrix S.p.A.</v>
          </cell>
        </row>
        <row r="52">
          <cell r="B52" t="str">
            <v>Stazione Climatica Bianchi</v>
          </cell>
        </row>
        <row r="53">
          <cell r="B53" t="str">
            <v>Casa di Cura Santo Stefano S.p.A.</v>
          </cell>
        </row>
        <row r="54">
          <cell r="B54" t="str">
            <v>TOTALE</v>
          </cell>
        </row>
        <row r="57">
          <cell r="B57" t="str">
            <v>Casa di Cura Privata Villa Dei Fiori s.r.l. Acerra</v>
          </cell>
        </row>
        <row r="58">
          <cell r="B58" t="str">
            <v>Casa di Cura Villa Majone s.r.l.</v>
          </cell>
        </row>
        <row r="59">
          <cell r="B59" t="str">
            <v xml:space="preserve">Casa di Cura S.Antimo </v>
          </cell>
        </row>
        <row r="60">
          <cell r="B60" t="str">
            <v>Casa di Cura Villa Dei Fiori s.r.l. Mugnano</v>
          </cell>
        </row>
        <row r="61">
          <cell r="B61" t="str">
            <v>TOTALE</v>
          </cell>
        </row>
        <row r="64">
          <cell r="B64" t="str">
            <v>Casa di Cura La Madonnina s.r.l.</v>
          </cell>
        </row>
        <row r="65">
          <cell r="B65" t="str">
            <v>Casa di Cura Nostra Signora di Lourdes S.p.A.</v>
          </cell>
        </row>
        <row r="66">
          <cell r="B66" t="str">
            <v>Casa di Cura S. Maria La Bruna s.r.l.</v>
          </cell>
        </row>
        <row r="67">
          <cell r="B67" t="str">
            <v>Casa di Cura Villa Stabia S.p.A.</v>
          </cell>
        </row>
        <row r="68">
          <cell r="B68" t="str">
            <v>Casa di Cura Villa Elisa S.p.A.</v>
          </cell>
        </row>
        <row r="69">
          <cell r="B69" t="str">
            <v>Casa di Cura Trusso s.r.l.</v>
          </cell>
        </row>
        <row r="70">
          <cell r="B70" t="str">
            <v>Casa di Cura Maria Rosaria S.p.A.</v>
          </cell>
        </row>
        <row r="71">
          <cell r="B71" t="str">
            <v xml:space="preserve">Casa di Cura Santa Lucia s.r.l. </v>
          </cell>
        </row>
        <row r="72">
          <cell r="B72" t="str">
            <v>Casa di Cura Andrea Grimaldi s.r.l.</v>
          </cell>
        </row>
        <row r="73">
          <cell r="B73" t="str">
            <v xml:space="preserve">Casa di Cura Villa Delle Margherite s.n.c. </v>
          </cell>
        </row>
        <row r="74">
          <cell r="B74" t="str">
            <v>Casa di Cura Meluccio s.r.l.</v>
          </cell>
        </row>
        <row r="75">
          <cell r="B75" t="str">
            <v>Casa di Cura Clinica S.Felice s.r.l.</v>
          </cell>
        </row>
        <row r="76">
          <cell r="B76" t="str">
            <v>Casa di Cura S.Maria Del Pozzo C.E.M. S.p.A.</v>
          </cell>
        </row>
        <row r="77">
          <cell r="B77" t="str">
            <v>TOTALE</v>
          </cell>
        </row>
        <row r="80">
          <cell r="B80" t="str">
            <v>Casa di Cura Villa DEL SOLE</v>
          </cell>
        </row>
        <row r="81">
          <cell r="B81" t="str">
            <v>Casa di Cura  Malzoni di Agropoli S.p.A.</v>
          </cell>
        </row>
        <row r="82">
          <cell r="B82" t="str">
            <v>Casa di Cura La Quiete s.r.l.</v>
          </cell>
        </row>
        <row r="83">
          <cell r="B83" t="str">
            <v>Casa di Cura Venosa s.r.l.</v>
          </cell>
        </row>
        <row r="84">
          <cell r="B84" t="str">
            <v>Casa di Cura Salus Battipaglia</v>
          </cell>
        </row>
        <row r="85">
          <cell r="B85" t="str">
            <v>Campolongo Hospital S.p.A. C.E.M.F.R. Eboli</v>
          </cell>
        </row>
        <row r="86">
          <cell r="B86" t="str">
            <v>Clinica Cobellis</v>
          </cell>
        </row>
        <row r="87">
          <cell r="B87" t="str">
            <v>Casa di Cura  Tortorella</v>
          </cell>
        </row>
        <row r="88">
          <cell r="B88" t="str">
            <v>Casa di Cura Villa Chiarugi s.r.l.</v>
          </cell>
        </row>
        <row r="89">
          <cell r="B89" t="str">
            <v>Villa SILBA (da verificare)</v>
          </cell>
        </row>
        <row r="90">
          <cell r="B90" t="str">
            <v>TOTALE</v>
          </cell>
        </row>
        <row r="92">
          <cell r="B92" t="str">
            <v xml:space="preserve">TOTALE per ASL </v>
          </cell>
        </row>
        <row r="93">
          <cell r="B93" t="str">
            <v>AVELLINO</v>
          </cell>
        </row>
        <row r="94">
          <cell r="B94" t="str">
            <v xml:space="preserve">BENEVENTO </v>
          </cell>
        </row>
        <row r="95">
          <cell r="B95" t="str">
            <v xml:space="preserve">CASERTA </v>
          </cell>
        </row>
        <row r="96">
          <cell r="B96" t="str">
            <v>NAPOLI 1 CENTRO</v>
          </cell>
        </row>
        <row r="97">
          <cell r="B97" t="str">
            <v>NAPOLI 2 NORD</v>
          </cell>
        </row>
        <row r="98">
          <cell r="B98" t="str">
            <v>NAPOLI 3 SUD</v>
          </cell>
        </row>
        <row r="99">
          <cell r="B99" t="str">
            <v>SALERNO</v>
          </cell>
        </row>
        <row r="100">
          <cell r="B100" t="str">
            <v>TOTALE GENERALE</v>
          </cell>
        </row>
        <row r="104">
          <cell r="B104" t="str">
            <v>*se il tetto 2011 dopo gli incrementi per:</v>
          </cell>
        </row>
        <row r="105">
          <cell r="B105" t="str">
            <v>a) passaggio fascia</v>
          </cell>
        </row>
        <row r="106">
          <cell r="B106" t="str">
            <v>b) rivalutazione DRG di alta specialità</v>
          </cell>
        </row>
        <row r="107">
          <cell r="B107" t="str">
            <v>c) contributo per posti letto di terapia intensiva</v>
          </cell>
        </row>
        <row r="108">
          <cell r="B108" t="str">
            <v>d) rivalutazione per posti letto di riabilitazione</v>
          </cell>
        </row>
        <row r="109">
          <cell r="B109" t="str">
            <v>e) rivalutazione per chiusure per lavori</v>
          </cell>
        </row>
        <row r="110">
          <cell r="B110" t="str">
            <v>risulta ancora inefriore all'80% del fatturato al netto dei controlli 2010 si dà il tetto 2010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_Riepilogo"/>
      <sheetName val="2.1 AD"/>
      <sheetName val="2.2 BV"/>
      <sheetName val="2.3 CA"/>
      <sheetName val="2.4 MN"/>
      <sheetName val="2.5 RAD"/>
      <sheetName val="2.6.1 LAB_2023_DEF"/>
      <sheetName val="2.6.2 LAB_2024"/>
      <sheetName val="2.6.3 var AGGR_2024"/>
      <sheetName val="2.6.4 LAB_2024 modif AGGR "/>
      <sheetName val="2.7 RT"/>
      <sheetName val="2.8 DI"/>
      <sheetName val="2.9 FKT"/>
      <sheetName val="All_3_ex_R"/>
      <sheetName val="Lab_riclassif_2023"/>
      <sheetName val="S.R. emendam"/>
      <sheetName val="S.R."/>
      <sheetName val="PEQ"/>
    </sheetNames>
    <sheetDataSet>
      <sheetData sheetId="0"/>
      <sheetData sheetId="1"/>
      <sheetData sheetId="2">
        <row r="26">
          <cell r="A26">
            <v>440005</v>
          </cell>
          <cell r="B26" t="str">
            <v>ROTONDI SERRA</v>
          </cell>
          <cell r="C26">
            <v>9614.34</v>
          </cell>
          <cell r="D26">
            <v>129729.91249460226</v>
          </cell>
          <cell r="E26">
            <v>114444.3873300049</v>
          </cell>
          <cell r="F26">
            <v>0.01</v>
          </cell>
          <cell r="G26">
            <v>13.493760583151976</v>
          </cell>
          <cell r="H26">
            <v>-7.0000000000000007E-2</v>
          </cell>
          <cell r="I26">
            <v>0</v>
          </cell>
          <cell r="J26"/>
          <cell r="L26">
            <v>8965</v>
          </cell>
          <cell r="M26">
            <v>127300</v>
          </cell>
          <cell r="N26">
            <v>115803</v>
          </cell>
          <cell r="O26">
            <v>0.01</v>
          </cell>
          <cell r="P26">
            <v>9693</v>
          </cell>
          <cell r="Q26">
            <v>146594.66000000347</v>
          </cell>
          <cell r="R26">
            <v>123058.48100000528</v>
          </cell>
          <cell r="S26">
            <v>1.1000000000000001E-3</v>
          </cell>
          <cell r="U26">
            <v>0</v>
          </cell>
          <cell r="W26">
            <v>115803</v>
          </cell>
          <cell r="X26">
            <v>7255.4810000052821</v>
          </cell>
          <cell r="Y26">
            <v>0</v>
          </cell>
          <cell r="AA26"/>
          <cell r="AC26">
            <v>10338</v>
          </cell>
          <cell r="AD26">
            <v>139494.52956408847</v>
          </cell>
          <cell r="AE26">
            <v>123058.48100000528</v>
          </cell>
        </row>
        <row r="27">
          <cell r="A27">
            <v>440006</v>
          </cell>
          <cell r="B27" t="str">
            <v>STUDIO OCULISTICO E POLISPECIALISTICO DOTT. M. TISO S.A.S.</v>
          </cell>
          <cell r="C27">
            <v>1628.4299999999998</v>
          </cell>
          <cell r="D27">
            <v>35664.042852050203</v>
          </cell>
          <cell r="E27">
            <v>31461.899999999998</v>
          </cell>
          <cell r="F27">
            <v>0.01</v>
          </cell>
          <cell r="G27">
            <v>21.897239963079997</v>
          </cell>
          <cell r="H27">
            <v>-7.0000000000000007E-2</v>
          </cell>
          <cell r="I27">
            <v>0</v>
          </cell>
          <cell r="J27"/>
          <cell r="L27">
            <v>2431</v>
          </cell>
          <cell r="M27">
            <v>37200</v>
          </cell>
          <cell r="N27">
            <v>33830</v>
          </cell>
          <cell r="O27">
            <v>0.01</v>
          </cell>
          <cell r="P27">
            <v>2043</v>
          </cell>
          <cell r="Q27">
            <v>35179.680000000204</v>
          </cell>
          <cell r="R27">
            <v>32089.6800000002</v>
          </cell>
          <cell r="S27">
            <v>0</v>
          </cell>
          <cell r="U27">
            <v>0</v>
          </cell>
          <cell r="W27">
            <v>32089.680000000255</v>
          </cell>
          <cell r="X27">
            <v>-5.4569682106375694E-11</v>
          </cell>
          <cell r="Y27">
            <v>0</v>
          </cell>
          <cell r="AA27"/>
          <cell r="AC27">
            <v>1751</v>
          </cell>
          <cell r="AD27">
            <v>38348.433174247533</v>
          </cell>
          <cell r="AE27">
            <v>33830</v>
          </cell>
        </row>
        <row r="28">
          <cell r="A28">
            <v>440076</v>
          </cell>
          <cell r="B28" t="str">
            <v>CLINICA MEDITERRANEA SPA  (LABORATORIO DI ANALISI)</v>
          </cell>
          <cell r="C28">
            <v>437.09999999999997</v>
          </cell>
          <cell r="D28">
            <v>10613.821561762976</v>
          </cell>
          <cell r="E28">
            <v>9363.24</v>
          </cell>
          <cell r="F28">
            <v>0.01</v>
          </cell>
          <cell r="G28">
            <v>24.259997031483255</v>
          </cell>
          <cell r="H28">
            <v>-7.0000000000000007E-2</v>
          </cell>
          <cell r="I28">
            <v>0</v>
          </cell>
          <cell r="J28"/>
          <cell r="L28">
            <v>472</v>
          </cell>
          <cell r="M28">
            <v>11100</v>
          </cell>
          <cell r="N28">
            <v>10068</v>
          </cell>
          <cell r="O28">
            <v>0.01</v>
          </cell>
          <cell r="P28">
            <v>381</v>
          </cell>
          <cell r="Q28">
            <v>8859.9799999999523</v>
          </cell>
          <cell r="R28">
            <v>7077.7799999999615</v>
          </cell>
          <cell r="S28">
            <v>0</v>
          </cell>
          <cell r="U28">
            <v>0</v>
          </cell>
          <cell r="W28">
            <v>7077.7799999999625</v>
          </cell>
          <cell r="X28">
            <v>0</v>
          </cell>
          <cell r="Y28">
            <v>0</v>
          </cell>
          <cell r="AA28"/>
          <cell r="AC28">
            <v>470</v>
          </cell>
          <cell r="AD28">
            <v>11412.711356734384</v>
          </cell>
          <cell r="AE28">
            <v>10068</v>
          </cell>
        </row>
        <row r="29">
          <cell r="A29">
            <v>450046</v>
          </cell>
          <cell r="B29" t="str">
            <v>CLINIC CENTER S.P.A. - (CENTRO DI RIABILITAZIONE EX ART. 44 )</v>
          </cell>
          <cell r="C29">
            <v>4956.8999999999996</v>
          </cell>
          <cell r="D29">
            <v>83494.774299901197</v>
          </cell>
          <cell r="E29">
            <v>73656.939299999998</v>
          </cell>
          <cell r="F29">
            <v>0.01</v>
          </cell>
          <cell r="G29">
            <v>16.843930935628745</v>
          </cell>
          <cell r="H29">
            <v>-7.0000000000000007E-2</v>
          </cell>
          <cell r="I29">
            <v>0</v>
          </cell>
          <cell r="J29"/>
          <cell r="L29">
            <v>3626</v>
          </cell>
          <cell r="M29">
            <v>87000</v>
          </cell>
          <cell r="N29">
            <v>79201.010000000009</v>
          </cell>
          <cell r="O29">
            <v>0.01</v>
          </cell>
          <cell r="P29">
            <v>3955</v>
          </cell>
          <cell r="Q29">
            <v>88694.790000000008</v>
          </cell>
          <cell r="R29">
            <v>77883.490000000005</v>
          </cell>
          <cell r="S29">
            <v>0</v>
          </cell>
          <cell r="U29">
            <v>24383.28160107059</v>
          </cell>
          <cell r="W29">
            <v>53500.210000000006</v>
          </cell>
          <cell r="X29">
            <v>0</v>
          </cell>
          <cell r="Y29">
            <v>0</v>
          </cell>
          <cell r="AA29"/>
          <cell r="AC29">
            <v>5330</v>
          </cell>
          <cell r="AD29">
            <v>89779.327204194837</v>
          </cell>
          <cell r="AE29">
            <v>79201.010000000009</v>
          </cell>
        </row>
        <row r="30">
          <cell r="A30">
            <v>450064</v>
          </cell>
          <cell r="B30" t="str">
            <v>CENTRO OCULISTICO BENUSIGLIO S.N.C.</v>
          </cell>
          <cell r="C30">
            <v>770.96999999999991</v>
          </cell>
          <cell r="D30">
            <v>16780.970562191404</v>
          </cell>
          <cell r="E30">
            <v>14803.74</v>
          </cell>
          <cell r="F30">
            <v>0.01</v>
          </cell>
          <cell r="G30">
            <v>21.759800413920313</v>
          </cell>
          <cell r="H30">
            <v>-7.0000000000000007E-2</v>
          </cell>
          <cell r="I30">
            <v>0</v>
          </cell>
          <cell r="J30"/>
          <cell r="L30">
            <v>1070</v>
          </cell>
          <cell r="M30">
            <v>17500</v>
          </cell>
          <cell r="N30">
            <v>15918</v>
          </cell>
          <cell r="O30">
            <v>0.01</v>
          </cell>
          <cell r="P30">
            <v>740</v>
          </cell>
          <cell r="Q30">
            <v>12527.259999999986</v>
          </cell>
          <cell r="R30">
            <v>11407.268999999986</v>
          </cell>
          <cell r="S30">
            <v>0</v>
          </cell>
          <cell r="U30">
            <v>0</v>
          </cell>
          <cell r="W30">
            <v>11407.268999999953</v>
          </cell>
          <cell r="X30">
            <v>3.2741809263825417E-11</v>
          </cell>
          <cell r="Y30">
            <v>0</v>
          </cell>
          <cell r="AA30"/>
          <cell r="AC30">
            <v>829</v>
          </cell>
          <cell r="AD30">
            <v>18044.054367947749</v>
          </cell>
          <cell r="AE30">
            <v>15918</v>
          </cell>
        </row>
        <row r="31">
          <cell r="A31">
            <v>450065</v>
          </cell>
          <cell r="B31" t="str">
            <v>DR. FROJO MAURO</v>
          </cell>
          <cell r="C31"/>
          <cell r="D31"/>
          <cell r="E31"/>
          <cell r="F31"/>
          <cell r="G31"/>
          <cell r="H31">
            <v>-7.0000000000000007E-2</v>
          </cell>
          <cell r="I31">
            <v>0</v>
          </cell>
          <cell r="J31" t="str">
            <v>attività cessata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 t="str">
            <v>…..%</v>
          </cell>
          <cell r="U31">
            <v>0</v>
          </cell>
          <cell r="W31">
            <v>0</v>
          </cell>
          <cell r="X31">
            <v>0</v>
          </cell>
          <cell r="Y31">
            <v>0</v>
          </cell>
          <cell r="AA31" t="str">
            <v>attività cessata</v>
          </cell>
          <cell r="AC31"/>
          <cell r="AD31"/>
          <cell r="AE31"/>
        </row>
        <row r="32">
          <cell r="A32">
            <v>460094</v>
          </cell>
          <cell r="B32" t="str">
            <v>OPTEUSO S.A.S.</v>
          </cell>
          <cell r="C32">
            <v>4156.17</v>
          </cell>
          <cell r="D32">
            <v>92351.211407783092</v>
          </cell>
          <cell r="E32">
            <v>81469.86</v>
          </cell>
          <cell r="F32">
            <v>0.01</v>
          </cell>
          <cell r="G32">
            <v>22.219434993738222</v>
          </cell>
          <cell r="H32">
            <v>-7.0000000000000007E-2</v>
          </cell>
          <cell r="I32">
            <v>0</v>
          </cell>
          <cell r="J32"/>
          <cell r="L32">
            <v>4075</v>
          </cell>
          <cell r="M32">
            <v>96300</v>
          </cell>
          <cell r="N32">
            <v>87602</v>
          </cell>
          <cell r="O32">
            <v>0.01</v>
          </cell>
          <cell r="P32">
            <v>3966</v>
          </cell>
          <cell r="Q32">
            <v>100521.53000000451</v>
          </cell>
          <cell r="R32">
            <v>94348.905000004568</v>
          </cell>
          <cell r="S32">
            <v>0</v>
          </cell>
          <cell r="U32">
            <v>8052</v>
          </cell>
          <cell r="W32">
            <v>86296.91</v>
          </cell>
          <cell r="X32">
            <v>0</v>
          </cell>
          <cell r="Y32">
            <v>0</v>
          </cell>
          <cell r="AA32"/>
          <cell r="AC32">
            <v>4469</v>
          </cell>
          <cell r="AD32">
            <v>99302.377857831292</v>
          </cell>
          <cell r="AE32">
            <v>87602</v>
          </cell>
        </row>
        <row r="33">
          <cell r="A33">
            <v>460136</v>
          </cell>
          <cell r="B33" t="str">
            <v>ISTITUTO PARTENOPEO DI RIABILITAZIONE S.R.L. - 460136</v>
          </cell>
          <cell r="C33">
            <v>1674</v>
          </cell>
          <cell r="D33">
            <v>138322.62</v>
          </cell>
          <cell r="E33">
            <v>135551.22</v>
          </cell>
          <cell r="F33">
            <v>0.01</v>
          </cell>
          <cell r="G33">
            <v>82.63</v>
          </cell>
          <cell r="H33">
            <v>-7.0000000000000007E-2</v>
          </cell>
          <cell r="I33">
            <v>135551.22</v>
          </cell>
          <cell r="J33" t="str">
            <v>Proveniente dalla branca di FKT in attuazione della Dgrc 800/23</v>
          </cell>
          <cell r="L33"/>
          <cell r="M33"/>
          <cell r="N33"/>
          <cell r="O33"/>
          <cell r="P33"/>
          <cell r="Q33"/>
          <cell r="R33"/>
          <cell r="S33"/>
          <cell r="U33"/>
          <cell r="W33"/>
          <cell r="X33"/>
          <cell r="Y33"/>
          <cell r="AA33" t="str">
            <v>Tetto 2023 estratto dalla branca di FKT</v>
          </cell>
          <cell r="AC33">
            <v>1800</v>
          </cell>
          <cell r="AD33">
            <v>148734</v>
          </cell>
          <cell r="AE33">
            <v>145754</v>
          </cell>
        </row>
        <row r="34">
          <cell r="A34">
            <v>470120</v>
          </cell>
          <cell r="B34" t="str">
            <v>CUTIS S.AS.</v>
          </cell>
          <cell r="C34">
            <v>404.54999999999995</v>
          </cell>
          <cell r="D34">
            <v>6919.8574425319994</v>
          </cell>
          <cell r="E34">
            <v>6104.5199999999995</v>
          </cell>
          <cell r="F34">
            <v>0.01</v>
          </cell>
          <cell r="G34">
            <v>17.112052787791495</v>
          </cell>
          <cell r="H34">
            <v>-7.0000000000000007E-2</v>
          </cell>
          <cell r="I34">
            <v>0</v>
          </cell>
          <cell r="J34"/>
          <cell r="L34">
            <v>443</v>
          </cell>
          <cell r="M34">
            <v>7200</v>
          </cell>
          <cell r="N34">
            <v>6564</v>
          </cell>
          <cell r="O34">
            <v>0.01</v>
          </cell>
          <cell r="P34">
            <v>217</v>
          </cell>
          <cell r="Q34">
            <v>4039.9399999999878</v>
          </cell>
          <cell r="R34">
            <v>3544.9399999999878</v>
          </cell>
          <cell r="S34">
            <v>0</v>
          </cell>
          <cell r="U34">
            <v>0</v>
          </cell>
          <cell r="W34">
            <v>3544.9399999999878</v>
          </cell>
          <cell r="X34">
            <v>0</v>
          </cell>
          <cell r="Y34">
            <v>0</v>
          </cell>
          <cell r="AA34"/>
          <cell r="AC34">
            <v>435</v>
          </cell>
          <cell r="AD34">
            <v>7440.7069274537635</v>
          </cell>
          <cell r="AE34">
            <v>6564</v>
          </cell>
        </row>
        <row r="35">
          <cell r="A35">
            <v>470131</v>
          </cell>
          <cell r="B35" t="str">
            <v>D.T.O. S.A.S.</v>
          </cell>
          <cell r="C35">
            <v>11558.97</v>
          </cell>
          <cell r="D35">
            <v>242777.99055652373</v>
          </cell>
          <cell r="E35">
            <v>214172.49</v>
          </cell>
          <cell r="F35">
            <v>0.01</v>
          </cell>
          <cell r="G35">
            <v>21.004055885124732</v>
          </cell>
          <cell r="H35">
            <v>-7.0000000000000007E-2</v>
          </cell>
          <cell r="I35">
            <v>0</v>
          </cell>
          <cell r="J35"/>
          <cell r="L35">
            <v>9501</v>
          </cell>
          <cell r="M35">
            <v>253100</v>
          </cell>
          <cell r="N35">
            <v>230293</v>
          </cell>
          <cell r="O35">
            <v>0.01</v>
          </cell>
          <cell r="P35">
            <v>8743</v>
          </cell>
          <cell r="Q35">
            <v>210082.52000000697</v>
          </cell>
          <cell r="R35">
            <v>186448.8850000072</v>
          </cell>
          <cell r="S35">
            <v>0</v>
          </cell>
          <cell r="U35">
            <v>0</v>
          </cell>
          <cell r="W35">
            <v>186448.8850000072</v>
          </cell>
          <cell r="X35">
            <v>0</v>
          </cell>
          <cell r="Y35">
            <v>0</v>
          </cell>
          <cell r="AA35"/>
          <cell r="AC35">
            <v>12429</v>
          </cell>
          <cell r="AD35">
            <v>261051.60274895027</v>
          </cell>
          <cell r="AE35">
            <v>230293</v>
          </cell>
        </row>
        <row r="36">
          <cell r="A36">
            <v>470134</v>
          </cell>
          <cell r="B36" t="str">
            <v>S. APOLLONIA S.A.S.</v>
          </cell>
          <cell r="C36">
            <v>12897.24</v>
          </cell>
          <cell r="D36">
            <v>339022.58005580347</v>
          </cell>
          <cell r="E36">
            <v>299076.98786999728</v>
          </cell>
          <cell r="F36">
            <v>0.01</v>
          </cell>
          <cell r="G36">
            <v>26.286927041636048</v>
          </cell>
          <cell r="H36">
            <v>-7.0000000000000007E-2</v>
          </cell>
          <cell r="I36">
            <v>0</v>
          </cell>
          <cell r="J36"/>
          <cell r="L36">
            <v>14530</v>
          </cell>
          <cell r="M36">
            <v>350600</v>
          </cell>
          <cell r="N36">
            <v>319013</v>
          </cell>
          <cell r="O36">
            <v>0.01</v>
          </cell>
          <cell r="P36">
            <v>13990</v>
          </cell>
          <cell r="Q36">
            <v>356532.40999999759</v>
          </cell>
          <cell r="R36">
            <v>321695.53899999708</v>
          </cell>
          <cell r="S36">
            <v>0</v>
          </cell>
          <cell r="U36">
            <v>107.38</v>
          </cell>
          <cell r="W36">
            <v>319013</v>
          </cell>
          <cell r="X36">
            <v>2575.1589999970793</v>
          </cell>
          <cell r="Y36">
            <v>0</v>
          </cell>
          <cell r="AA36"/>
          <cell r="AC36">
            <v>13868</v>
          </cell>
          <cell r="AD36">
            <v>364540.40866215428</v>
          </cell>
          <cell r="AE36">
            <v>321588.15899999707</v>
          </cell>
        </row>
        <row r="37">
          <cell r="A37">
            <v>470135</v>
          </cell>
          <cell r="B37" t="str">
            <v>SAN STANISLAO S.A.S.</v>
          </cell>
          <cell r="C37">
            <v>5762.28</v>
          </cell>
          <cell r="D37">
            <v>151172.07646991001</v>
          </cell>
          <cell r="E37">
            <v>133360.11210000119</v>
          </cell>
          <cell r="F37">
            <v>0.01</v>
          </cell>
          <cell r="G37">
            <v>26.235191914217602</v>
          </cell>
          <cell r="H37">
            <v>-7.0000000000000007E-2</v>
          </cell>
          <cell r="I37">
            <v>0</v>
          </cell>
          <cell r="J37"/>
          <cell r="L37">
            <v>6378</v>
          </cell>
          <cell r="M37">
            <v>153900</v>
          </cell>
          <cell r="N37">
            <v>140002</v>
          </cell>
          <cell r="O37">
            <v>0.01</v>
          </cell>
          <cell r="P37">
            <v>5847</v>
          </cell>
          <cell r="Q37">
            <v>159071.38000000091</v>
          </cell>
          <cell r="R37">
            <v>143397.97000000128</v>
          </cell>
          <cell r="S37">
            <v>0</v>
          </cell>
          <cell r="U37">
            <v>0</v>
          </cell>
          <cell r="W37">
            <v>140002</v>
          </cell>
          <cell r="X37">
            <v>3395.9700000012817</v>
          </cell>
          <cell r="Y37">
            <v>0</v>
          </cell>
          <cell r="AA37"/>
          <cell r="AC37">
            <v>6196</v>
          </cell>
          <cell r="AD37">
            <v>162550.61986011831</v>
          </cell>
          <cell r="AE37">
            <v>143397.97000000128</v>
          </cell>
        </row>
        <row r="38">
          <cell r="A38">
            <v>480203</v>
          </cell>
          <cell r="B38" t="str">
            <v>VALDENT S.A.S.</v>
          </cell>
          <cell r="C38">
            <v>16001.579999999998</v>
          </cell>
          <cell r="D38">
            <v>425388.85377946601</v>
          </cell>
          <cell r="E38">
            <v>375267.08999999997</v>
          </cell>
          <cell r="F38">
            <v>0.01</v>
          </cell>
          <cell r="G38">
            <v>26.583886632334071</v>
          </cell>
          <cell r="H38">
            <v>-7.0000000000000007E-2</v>
          </cell>
          <cell r="I38">
            <v>0</v>
          </cell>
          <cell r="J38"/>
          <cell r="L38">
            <v>16705</v>
          </cell>
          <cell r="M38">
            <v>403100</v>
          </cell>
          <cell r="N38">
            <v>366830</v>
          </cell>
          <cell r="O38">
            <v>0.01</v>
          </cell>
          <cell r="P38">
            <v>18562</v>
          </cell>
          <cell r="Q38">
            <v>539807.68999999634</v>
          </cell>
          <cell r="R38">
            <v>477920.39199998393</v>
          </cell>
          <cell r="S38">
            <v>0</v>
          </cell>
          <cell r="U38">
            <v>124</v>
          </cell>
          <cell r="W38">
            <v>366830</v>
          </cell>
          <cell r="X38">
            <v>36683</v>
          </cell>
          <cell r="Y38">
            <v>74283.391999983927</v>
          </cell>
          <cell r="AA38"/>
          <cell r="AC38">
            <v>17206</v>
          </cell>
          <cell r="AD38">
            <v>457407.3696553398</v>
          </cell>
          <cell r="AE38">
            <v>403513</v>
          </cell>
        </row>
        <row r="39">
          <cell r="A39">
            <v>480212</v>
          </cell>
          <cell r="B39" t="str">
            <v>HERMITAGE CAPODIMONTE SPA</v>
          </cell>
          <cell r="C39">
            <v>3849.2699999999995</v>
          </cell>
          <cell r="D39">
            <v>52205.706948754902</v>
          </cell>
          <cell r="E39">
            <v>46054.53</v>
          </cell>
          <cell r="F39">
            <v>0.01</v>
          </cell>
          <cell r="G39">
            <v>13.561492223280625</v>
          </cell>
          <cell r="H39">
            <v>-7.0000000000000007E-2</v>
          </cell>
          <cell r="I39">
            <v>0</v>
          </cell>
          <cell r="J39"/>
          <cell r="L39">
            <v>4732</v>
          </cell>
          <cell r="M39">
            <v>54400</v>
          </cell>
          <cell r="N39">
            <v>49521</v>
          </cell>
          <cell r="O39">
            <v>0.01</v>
          </cell>
          <cell r="P39">
            <v>1142</v>
          </cell>
          <cell r="Q39">
            <v>13309.889999999916</v>
          </cell>
          <cell r="R39">
            <v>10957.011999999855</v>
          </cell>
          <cell r="S39">
            <v>0</v>
          </cell>
          <cell r="U39">
            <v>0</v>
          </cell>
          <cell r="W39">
            <v>10957.011999999855</v>
          </cell>
          <cell r="X39">
            <v>0</v>
          </cell>
          <cell r="Y39">
            <v>0</v>
          </cell>
          <cell r="AA39"/>
          <cell r="AC39">
            <v>4139</v>
          </cell>
          <cell r="AD39">
            <v>56135.168762102046</v>
          </cell>
          <cell r="AE39">
            <v>49521</v>
          </cell>
        </row>
        <row r="40">
          <cell r="A40">
            <v>490199</v>
          </cell>
          <cell r="B40" t="str">
            <v>CENTRO ODONTOSTOMAT. BAMONTE S.A.S DI ALESSANDRO VITI S.A.S.</v>
          </cell>
          <cell r="C40">
            <v>28219.919999999998</v>
          </cell>
          <cell r="D40">
            <v>732669.59759718995</v>
          </cell>
          <cell r="E40">
            <v>646342.24751998053</v>
          </cell>
          <cell r="F40">
            <v>0.01</v>
          </cell>
          <cell r="G40">
            <v>25.962429189419403</v>
          </cell>
          <cell r="H40">
            <v>-7.0000000000000007E-2</v>
          </cell>
          <cell r="I40">
            <v>0</v>
          </cell>
          <cell r="J40"/>
          <cell r="L40">
            <v>30990</v>
          </cell>
          <cell r="M40">
            <v>747800</v>
          </cell>
          <cell r="N40">
            <v>680451</v>
          </cell>
          <cell r="O40">
            <v>0.01</v>
          </cell>
          <cell r="P40">
            <v>29110</v>
          </cell>
          <cell r="Q40">
            <v>760854.689999984</v>
          </cell>
          <cell r="R40">
            <v>694991.66399997915</v>
          </cell>
          <cell r="S40">
            <v>0</v>
          </cell>
          <cell r="U40">
            <v>0</v>
          </cell>
          <cell r="W40">
            <v>680451</v>
          </cell>
          <cell r="X40">
            <v>14540.663999979151</v>
          </cell>
          <cell r="Y40">
            <v>0</v>
          </cell>
          <cell r="AA40"/>
          <cell r="AC40">
            <v>30344</v>
          </cell>
          <cell r="AD40">
            <v>787816.77160988166</v>
          </cell>
          <cell r="AE40">
            <v>694991.66399997915</v>
          </cell>
        </row>
        <row r="41">
          <cell r="A41">
            <v>490200</v>
          </cell>
          <cell r="B41" t="str">
            <v>EMMECI S.N.C. DI M. MAISTO &amp; C</v>
          </cell>
          <cell r="C41">
            <v>9306.51</v>
          </cell>
          <cell r="D41">
            <v>239010.51296699778</v>
          </cell>
          <cell r="E41">
            <v>210848.91831000318</v>
          </cell>
          <cell r="F41">
            <v>0.01</v>
          </cell>
          <cell r="G41">
            <v>25.683125122493426</v>
          </cell>
          <cell r="H41">
            <v>-7.0000000000000007E-2</v>
          </cell>
          <cell r="I41">
            <v>0</v>
          </cell>
          <cell r="J41"/>
          <cell r="L41">
            <v>10170</v>
          </cell>
          <cell r="M41">
            <v>245400</v>
          </cell>
          <cell r="N41">
            <v>223297</v>
          </cell>
          <cell r="O41">
            <v>0.01</v>
          </cell>
          <cell r="P41">
            <v>10170</v>
          </cell>
          <cell r="Q41">
            <v>256916.71999999756</v>
          </cell>
          <cell r="R41">
            <v>226775.78700000342</v>
          </cell>
          <cell r="S41">
            <v>0</v>
          </cell>
          <cell r="U41">
            <v>56.519999999999996</v>
          </cell>
          <cell r="W41">
            <v>223297</v>
          </cell>
          <cell r="X41">
            <v>3422.2670000034163</v>
          </cell>
          <cell r="Y41">
            <v>0</v>
          </cell>
          <cell r="AA41"/>
          <cell r="AC41">
            <v>10007</v>
          </cell>
          <cell r="AD41">
            <v>257000.55157741698</v>
          </cell>
          <cell r="AE41">
            <v>226719.26700000343</v>
          </cell>
        </row>
        <row r="42">
          <cell r="A42">
            <v>500267</v>
          </cell>
          <cell r="B42" t="str">
            <v>CENTRO NEUROLOGICO TERRITORIALE S.A.S.</v>
          </cell>
          <cell r="C42">
            <v>9818.01</v>
          </cell>
          <cell r="D42">
            <v>132816.14255862837</v>
          </cell>
          <cell r="E42">
            <v>117166.98</v>
          </cell>
          <cell r="F42">
            <v>0.01</v>
          </cell>
          <cell r="G42">
            <v>13.528311934491919</v>
          </cell>
          <cell r="H42">
            <v>-7.0000000000000007E-2</v>
          </cell>
          <cell r="I42">
            <v>0</v>
          </cell>
          <cell r="J42"/>
          <cell r="L42">
            <v>10515</v>
          </cell>
          <cell r="M42">
            <v>125900</v>
          </cell>
          <cell r="N42">
            <v>114533</v>
          </cell>
          <cell r="O42">
            <v>0.01</v>
          </cell>
          <cell r="P42">
            <v>12564</v>
          </cell>
          <cell r="Q42">
            <v>147792.7600000001</v>
          </cell>
          <cell r="R42">
            <v>131554</v>
          </cell>
          <cell r="S42">
            <v>0</v>
          </cell>
          <cell r="U42">
            <v>0</v>
          </cell>
          <cell r="W42">
            <v>114533</v>
          </cell>
          <cell r="X42">
            <v>11453</v>
          </cell>
          <cell r="Y42">
            <v>5568</v>
          </cell>
          <cell r="AA42"/>
          <cell r="AC42">
            <v>10557</v>
          </cell>
          <cell r="AD42">
            <v>142813.05651465416</v>
          </cell>
          <cell r="AE42">
            <v>125986</v>
          </cell>
        </row>
        <row r="43">
          <cell r="A43">
            <v>510259</v>
          </cell>
          <cell r="B43" t="str">
            <v>CENTRO DENTISTICO CAMPANO S.T.P. SRL</v>
          </cell>
          <cell r="C43">
            <v>4795.08</v>
          </cell>
          <cell r="D43">
            <v>120726.47480145608</v>
          </cell>
          <cell r="E43">
            <v>106501.78650000079</v>
          </cell>
          <cell r="F43">
            <v>0.01</v>
          </cell>
          <cell r="G43">
            <v>25.179454400452101</v>
          </cell>
          <cell r="H43">
            <v>-7.0000000000000007E-2</v>
          </cell>
          <cell r="I43">
            <v>0</v>
          </cell>
          <cell r="J43"/>
          <cell r="L43">
            <v>4849</v>
          </cell>
          <cell r="M43">
            <v>117000</v>
          </cell>
          <cell r="N43">
            <v>106489</v>
          </cell>
          <cell r="O43">
            <v>0.01</v>
          </cell>
          <cell r="P43">
            <v>4949</v>
          </cell>
          <cell r="Q43">
            <v>124070.350000001</v>
          </cell>
          <cell r="R43">
            <v>114518.05000000086</v>
          </cell>
          <cell r="S43">
            <v>0</v>
          </cell>
          <cell r="U43">
            <v>0</v>
          </cell>
          <cell r="W43">
            <v>106489</v>
          </cell>
          <cell r="X43">
            <v>8029.0500000008615</v>
          </cell>
          <cell r="Y43">
            <v>0</v>
          </cell>
          <cell r="AA43"/>
          <cell r="AC43">
            <v>5156</v>
          </cell>
          <cell r="AD43">
            <v>129813.41376500654</v>
          </cell>
          <cell r="AE43">
            <v>114518.05000000086</v>
          </cell>
        </row>
        <row r="44">
          <cell r="A44">
            <v>510260</v>
          </cell>
          <cell r="B44" t="str">
            <v>DOTT. SANGIOVANNI PAOLA</v>
          </cell>
          <cell r="C44">
            <v>2410.56</v>
          </cell>
          <cell r="D44">
            <v>62341.555487141704</v>
          </cell>
          <cell r="E44">
            <v>54996.114510000094</v>
          </cell>
          <cell r="F44">
            <v>0.01</v>
          </cell>
          <cell r="G44">
            <v>25.866720238513338</v>
          </cell>
          <cell r="H44">
            <v>-7.0000000000000007E-2</v>
          </cell>
          <cell r="I44">
            <v>0</v>
          </cell>
          <cell r="J44"/>
          <cell r="L44">
            <v>2677</v>
          </cell>
          <cell r="M44">
            <v>64600</v>
          </cell>
          <cell r="N44">
            <v>58786</v>
          </cell>
          <cell r="O44">
            <v>0.01</v>
          </cell>
          <cell r="P44">
            <v>2264</v>
          </cell>
          <cell r="Q44">
            <v>71785.960000000472</v>
          </cell>
          <cell r="R44">
            <v>64954.607000000105</v>
          </cell>
          <cell r="S44">
            <v>0</v>
          </cell>
          <cell r="U44">
            <v>5819</v>
          </cell>
          <cell r="W44">
            <v>58786</v>
          </cell>
          <cell r="X44">
            <v>349.60700000010547</v>
          </cell>
          <cell r="Y44">
            <v>0</v>
          </cell>
          <cell r="AA44"/>
          <cell r="AC44">
            <v>2592</v>
          </cell>
          <cell r="AD44">
            <v>67033.93063133517</v>
          </cell>
          <cell r="AE44">
            <v>59135.607000000105</v>
          </cell>
        </row>
        <row r="45">
          <cell r="A45">
            <v>520307</v>
          </cell>
          <cell r="B45" t="str">
            <v>CENTRO MEDICO CAMPANO S.R.L.</v>
          </cell>
          <cell r="C45">
            <v>483.59999999999997</v>
          </cell>
          <cell r="D45">
            <v>28641.58935127523</v>
          </cell>
          <cell r="E45">
            <v>25266.872400000044</v>
          </cell>
          <cell r="F45">
            <v>0.01</v>
          </cell>
          <cell r="G45">
            <v>59.255737704918019</v>
          </cell>
          <cell r="H45">
            <v>-7.0000000000000007E-2</v>
          </cell>
          <cell r="I45">
            <v>0</v>
          </cell>
          <cell r="J45"/>
          <cell r="L45">
            <v>507</v>
          </cell>
          <cell r="M45">
            <v>29800</v>
          </cell>
          <cell r="N45">
            <v>27106</v>
          </cell>
          <cell r="O45">
            <v>0.01</v>
          </cell>
          <cell r="P45">
            <v>509</v>
          </cell>
          <cell r="Q45">
            <v>29965.430000000113</v>
          </cell>
          <cell r="R45">
            <v>27168.680000000048</v>
          </cell>
          <cell r="S45">
            <v>0</v>
          </cell>
          <cell r="U45">
            <v>0</v>
          </cell>
          <cell r="W45">
            <v>27106</v>
          </cell>
          <cell r="X45">
            <v>62.680000000047585</v>
          </cell>
          <cell r="Y45">
            <v>0</v>
          </cell>
          <cell r="AA45"/>
          <cell r="AC45">
            <v>520</v>
          </cell>
          <cell r="AD45">
            <v>30797.407904597025</v>
          </cell>
          <cell r="AE45">
            <v>27168.680000000048</v>
          </cell>
        </row>
        <row r="46">
          <cell r="A46">
            <v>520313</v>
          </cell>
          <cell r="B46" t="str">
            <v>DENTAL IGEA  SRS</v>
          </cell>
          <cell r="C46">
            <v>4442.6099999999997</v>
          </cell>
          <cell r="D46">
            <v>115073.72928047272</v>
          </cell>
          <cell r="E46">
            <v>101515.07999999999</v>
          </cell>
          <cell r="F46">
            <v>0.01</v>
          </cell>
          <cell r="G46">
            <v>25.903012365766504</v>
          </cell>
          <cell r="H46">
            <v>-7.0000000000000007E-2</v>
          </cell>
          <cell r="I46">
            <v>0</v>
          </cell>
          <cell r="J46"/>
          <cell r="L46">
            <v>5326</v>
          </cell>
          <cell r="M46">
            <v>120000</v>
          </cell>
          <cell r="N46">
            <v>109156</v>
          </cell>
          <cell r="O46">
            <v>0.01</v>
          </cell>
          <cell r="P46">
            <v>4680</v>
          </cell>
          <cell r="Q46">
            <v>112872.77000000514</v>
          </cell>
          <cell r="R46">
            <v>105872.51900000271</v>
          </cell>
          <cell r="S46">
            <v>0</v>
          </cell>
          <cell r="U46">
            <v>0</v>
          </cell>
          <cell r="W46">
            <v>105872.51900000277</v>
          </cell>
          <cell r="X46">
            <v>0</v>
          </cell>
          <cell r="Y46">
            <v>0</v>
          </cell>
          <cell r="AA46"/>
          <cell r="AC46">
            <v>4777</v>
          </cell>
          <cell r="AD46">
            <v>123735.19277470186</v>
          </cell>
          <cell r="AE46">
            <v>109156</v>
          </cell>
        </row>
        <row r="47">
          <cell r="A47">
            <v>530337</v>
          </cell>
          <cell r="B47" t="str">
            <v>CENTRO POLIDIAGNOSTICO PERSICO PRIMI S.R.L. - (CENTRO DI RIABILITAZIONE EX ART. 44)</v>
          </cell>
          <cell r="C47">
            <v>5740.8899999999994</v>
          </cell>
          <cell r="D47">
            <v>122027.32155514383</v>
          </cell>
          <cell r="E47">
            <v>107649.35999999999</v>
          </cell>
          <cell r="F47">
            <v>0.01</v>
          </cell>
          <cell r="G47">
            <v>21.255949755208281</v>
          </cell>
          <cell r="H47">
            <v>-7.0000000000000007E-2</v>
          </cell>
          <cell r="I47">
            <v>0</v>
          </cell>
          <cell r="J47"/>
          <cell r="L47">
            <v>6057</v>
          </cell>
          <cell r="M47">
            <v>127199.99999999999</v>
          </cell>
          <cell r="N47">
            <v>115752</v>
          </cell>
          <cell r="O47">
            <v>0.01</v>
          </cell>
          <cell r="P47">
            <v>5373</v>
          </cell>
          <cell r="Q47">
            <v>121423.05</v>
          </cell>
          <cell r="R47">
            <v>113914.90000000001</v>
          </cell>
          <cell r="S47">
            <v>0</v>
          </cell>
          <cell r="U47">
            <v>1187</v>
          </cell>
          <cell r="W47">
            <v>111733.83</v>
          </cell>
          <cell r="X47">
            <v>994.07000000000698</v>
          </cell>
          <cell r="Y47">
            <v>0</v>
          </cell>
          <cell r="AA47"/>
          <cell r="AC47">
            <v>6173</v>
          </cell>
          <cell r="AD47">
            <v>131212.17371520842</v>
          </cell>
          <cell r="AE47">
            <v>115752</v>
          </cell>
        </row>
        <row r="48">
          <cell r="A48">
            <v>530432</v>
          </cell>
          <cell r="B48" t="str">
            <v>CENTRO ODONTOIATRICO DR.F.SELLITTI</v>
          </cell>
          <cell r="C48">
            <v>24542.699999999997</v>
          </cell>
          <cell r="D48">
            <v>635391.67750887829</v>
          </cell>
          <cell r="E48">
            <v>560526.1720199897</v>
          </cell>
          <cell r="F48">
            <v>0.01</v>
          </cell>
          <cell r="G48">
            <v>25.889626018071215</v>
          </cell>
          <cell r="H48">
            <v>-7.0000000000000007E-2</v>
          </cell>
          <cell r="I48">
            <v>0</v>
          </cell>
          <cell r="J48"/>
          <cell r="L48">
            <v>26826</v>
          </cell>
          <cell r="M48">
            <v>647300</v>
          </cell>
          <cell r="N48">
            <v>588995</v>
          </cell>
          <cell r="O48">
            <v>0.01</v>
          </cell>
          <cell r="P48">
            <v>27421</v>
          </cell>
          <cell r="Q48">
            <v>661662.35999997461</v>
          </cell>
          <cell r="R48">
            <v>602716.31399998895</v>
          </cell>
          <cell r="S48">
            <v>0</v>
          </cell>
          <cell r="U48">
            <v>0</v>
          </cell>
          <cell r="W48">
            <v>588995</v>
          </cell>
          <cell r="X48">
            <v>13721.313999988954</v>
          </cell>
          <cell r="Y48">
            <v>0</v>
          </cell>
          <cell r="AA48"/>
          <cell r="AC48">
            <v>26390</v>
          </cell>
          <cell r="AD48">
            <v>683216.85753642838</v>
          </cell>
          <cell r="AE48">
            <v>602716.31399998895</v>
          </cell>
        </row>
        <row r="49">
          <cell r="A49">
            <v>530433</v>
          </cell>
          <cell r="B49" t="str">
            <v>G.M.P. SRL</v>
          </cell>
          <cell r="C49">
            <v>8175</v>
          </cell>
          <cell r="D49">
            <v>113356</v>
          </cell>
          <cell r="E49">
            <v>100000</v>
          </cell>
          <cell r="F49">
            <v>0.01</v>
          </cell>
          <cell r="G49">
            <v>13.867728694045132</v>
          </cell>
          <cell r="H49" t="str">
            <v>n.s.</v>
          </cell>
          <cell r="I49">
            <v>29579.47</v>
          </cell>
          <cell r="J49" t="str">
            <v>Delibera ASL NA1 n. 2062 del 8.11.2024</v>
          </cell>
          <cell r="L49">
            <v>5669</v>
          </cell>
          <cell r="M49">
            <v>83200</v>
          </cell>
          <cell r="N49">
            <v>75721</v>
          </cell>
          <cell r="O49">
            <v>0.01</v>
          </cell>
          <cell r="P49">
            <v>3953</v>
          </cell>
          <cell r="Q49">
            <v>58950.030000001781</v>
          </cell>
          <cell r="R49">
            <v>54335.814000001701</v>
          </cell>
          <cell r="S49">
            <v>0</v>
          </cell>
          <cell r="U49">
            <v>0</v>
          </cell>
          <cell r="W49">
            <v>54335.814000002181</v>
          </cell>
          <cell r="X49">
            <v>-4.8021320253610611E-10</v>
          </cell>
          <cell r="Y49">
            <v>0</v>
          </cell>
          <cell r="AA49"/>
          <cell r="AC49">
            <v>6190</v>
          </cell>
          <cell r="AD49">
            <v>85834.516949074721</v>
          </cell>
          <cell r="AE49">
            <v>75721</v>
          </cell>
        </row>
        <row r="50">
          <cell r="A50">
            <v>530434</v>
          </cell>
          <cell r="B50" t="str">
            <v>CENTRO ODONTOSTOMATOLOGICO CERASUOLO SAS</v>
          </cell>
          <cell r="C50">
            <v>25210.44</v>
          </cell>
          <cell r="D50">
            <v>651817.04709707608</v>
          </cell>
          <cell r="E50">
            <v>575016.21</v>
          </cell>
          <cell r="F50">
            <v>0.01</v>
          </cell>
          <cell r="G50">
            <v>25.855131086746685</v>
          </cell>
          <cell r="H50">
            <v>-7.0000000000000007E-2</v>
          </cell>
          <cell r="I50">
            <v>0</v>
          </cell>
          <cell r="J50"/>
          <cell r="L50">
            <v>28160</v>
          </cell>
          <cell r="M50">
            <v>679500</v>
          </cell>
          <cell r="N50">
            <v>618297</v>
          </cell>
          <cell r="O50">
            <v>0.01</v>
          </cell>
          <cell r="P50">
            <v>9636</v>
          </cell>
          <cell r="Q50">
            <v>261909.69000000216</v>
          </cell>
          <cell r="R50">
            <v>247233.5920000019</v>
          </cell>
          <cell r="S50">
            <v>0</v>
          </cell>
          <cell r="U50">
            <v>0</v>
          </cell>
          <cell r="W50">
            <v>247233.5920000019</v>
          </cell>
          <cell r="X50">
            <v>0</v>
          </cell>
          <cell r="Y50">
            <v>0</v>
          </cell>
          <cell r="AA50" t="str">
            <v>DD 174/2023 per voltura accreditamento ex Cerasuolo</v>
          </cell>
          <cell r="AC50">
            <v>27108</v>
          </cell>
          <cell r="AD50">
            <v>700878.54526567331</v>
          </cell>
          <cell r="AE50">
            <v>618297</v>
          </cell>
        </row>
        <row r="51">
          <cell r="A51">
            <v>530443</v>
          </cell>
          <cell r="B51" t="str">
            <v>FUTURA S.R.L. DI ALDO MARRA</v>
          </cell>
          <cell r="C51">
            <v>4595.13</v>
          </cell>
          <cell r="D51">
            <v>118251.11507779949</v>
          </cell>
          <cell r="E51">
            <v>104318.08791000109</v>
          </cell>
          <cell r="F51">
            <v>0.01</v>
          </cell>
          <cell r="G51">
            <v>25.734116133996068</v>
          </cell>
          <cell r="H51">
            <v>-7.0000000000000007E-2</v>
          </cell>
          <cell r="I51">
            <v>0</v>
          </cell>
          <cell r="J51"/>
          <cell r="L51">
            <v>5147</v>
          </cell>
          <cell r="M51">
            <v>120600</v>
          </cell>
          <cell r="N51">
            <v>109775</v>
          </cell>
          <cell r="O51">
            <v>0.01</v>
          </cell>
          <cell r="P51">
            <v>4376</v>
          </cell>
          <cell r="Q51">
            <v>119981.72000000199</v>
          </cell>
          <cell r="R51">
            <v>112169.98700000119</v>
          </cell>
          <cell r="S51">
            <v>0</v>
          </cell>
          <cell r="U51">
            <v>0</v>
          </cell>
          <cell r="W51">
            <v>109775</v>
          </cell>
          <cell r="X51">
            <v>2394.987000001187</v>
          </cell>
          <cell r="Y51">
            <v>0</v>
          </cell>
          <cell r="AA51"/>
          <cell r="AC51">
            <v>4941</v>
          </cell>
          <cell r="AD51">
            <v>127151.73664279516</v>
          </cell>
          <cell r="AE51">
            <v>112169.98700000119</v>
          </cell>
        </row>
        <row r="52">
          <cell r="A52" t="str">
            <v>AMB384</v>
          </cell>
          <cell r="B52" t="str">
            <v>CENTRO MULTIMEDICO AMBROSIO SRL</v>
          </cell>
          <cell r="C52">
            <v>13076.73</v>
          </cell>
          <cell r="D52">
            <v>280628.78215536679</v>
          </cell>
          <cell r="E52">
            <v>247563.48342000652</v>
          </cell>
          <cell r="F52">
            <v>0.01</v>
          </cell>
          <cell r="G52">
            <v>21.460066942909066</v>
          </cell>
          <cell r="H52">
            <v>-7.0000000000000007E-2</v>
          </cell>
          <cell r="I52">
            <v>0</v>
          </cell>
          <cell r="J52"/>
          <cell r="L52">
            <v>14782</v>
          </cell>
          <cell r="M52">
            <v>286800</v>
          </cell>
          <cell r="N52">
            <v>260945</v>
          </cell>
          <cell r="O52">
            <v>0.01</v>
          </cell>
          <cell r="P52">
            <v>15253</v>
          </cell>
          <cell r="Q52">
            <v>292204.28000000725</v>
          </cell>
          <cell r="R52">
            <v>266197.29400000704</v>
          </cell>
          <cell r="S52">
            <v>0</v>
          </cell>
          <cell r="U52">
            <v>0</v>
          </cell>
          <cell r="W52">
            <v>260945</v>
          </cell>
          <cell r="X52">
            <v>5252.2940000070375</v>
          </cell>
          <cell r="Y52">
            <v>0</v>
          </cell>
          <cell r="AA52"/>
          <cell r="AC52">
            <v>14061</v>
          </cell>
          <cell r="AD52">
            <v>301751.37866168475</v>
          </cell>
          <cell r="AE52">
            <v>266197.29400000704</v>
          </cell>
        </row>
        <row r="53">
          <cell r="A53" t="str">
            <v>AMB484</v>
          </cell>
          <cell r="B53" t="str">
            <v>Fondazione S. Maria della Misericordia</v>
          </cell>
          <cell r="C53">
            <v>12507.57</v>
          </cell>
          <cell r="D53">
            <v>326542.63297140267</v>
          </cell>
          <cell r="E53">
            <v>288067.5</v>
          </cell>
          <cell r="F53">
            <v>0.01</v>
          </cell>
          <cell r="G53">
            <v>26.107642286229485</v>
          </cell>
          <cell r="H53">
            <v>-7.0000000000000007E-2</v>
          </cell>
          <cell r="I53">
            <v>0</v>
          </cell>
          <cell r="J53" t="str">
            <v>Con atto di invito del 21.6.24 chiede almeno € 600-700 mila. Considerato il cons.vo 2023 delle strutture pubbliche e private della branca / ASL, si rinvia alla applicazione dell'All. B alla Dgrc 215/2022 e s.m.i.</v>
          </cell>
          <cell r="L53">
            <v>8404</v>
          </cell>
          <cell r="M53">
            <v>226900</v>
          </cell>
          <cell r="N53">
            <v>206500</v>
          </cell>
          <cell r="O53">
            <v>0.01</v>
          </cell>
          <cell r="P53">
            <v>5167</v>
          </cell>
          <cell r="Q53">
            <v>136104.41000000067</v>
          </cell>
          <cell r="R53">
            <v>121894.36300000086</v>
          </cell>
          <cell r="S53">
            <v>0</v>
          </cell>
          <cell r="U53">
            <v>0</v>
          </cell>
          <cell r="W53">
            <v>121894.36300000129</v>
          </cell>
          <cell r="X53">
            <v>-4.3655745685100555E-10</v>
          </cell>
          <cell r="Y53">
            <v>0</v>
          </cell>
          <cell r="AA53" t="str">
            <v>Nuovo accreditamento: nel 2022 il tetto era x 8/12</v>
          </cell>
          <cell r="AC53">
            <v>13449</v>
          </cell>
          <cell r="AD53">
            <v>351121.11072193837</v>
          </cell>
          <cell r="AE53">
            <v>309750</v>
          </cell>
        </row>
        <row r="54">
          <cell r="A54" t="str">
            <v>AMB489</v>
          </cell>
          <cell r="B54" t="str">
            <v>NOVOFAT srl Società tra professionisti</v>
          </cell>
          <cell r="C54">
            <v>4048.2899999999995</v>
          </cell>
          <cell r="D54">
            <v>105530.98863912604</v>
          </cell>
          <cell r="E54">
            <v>93096.719999999987</v>
          </cell>
          <cell r="F54">
            <v>0.01</v>
          </cell>
          <cell r="G54">
            <v>26.066380082730106</v>
          </cell>
          <cell r="H54">
            <v>-7.0000000000000007E-2</v>
          </cell>
          <cell r="I54">
            <v>0</v>
          </cell>
          <cell r="J54"/>
          <cell r="L54">
            <v>1520</v>
          </cell>
          <cell r="M54">
            <v>36666.67</v>
          </cell>
          <cell r="N54">
            <v>33368</v>
          </cell>
          <cell r="O54">
            <v>0.01</v>
          </cell>
          <cell r="P54">
            <v>1417</v>
          </cell>
          <cell r="Q54">
            <v>33373.760000000315</v>
          </cell>
          <cell r="R54">
            <v>31972.35</v>
          </cell>
          <cell r="S54">
            <v>0</v>
          </cell>
          <cell r="U54">
            <v>0</v>
          </cell>
          <cell r="W54">
            <v>31972.35</v>
          </cell>
          <cell r="X54">
            <v>0</v>
          </cell>
          <cell r="Y54">
            <v>0</v>
          </cell>
          <cell r="AA54" t="str">
            <v>Nuovo accreditamento: nel 2022 il tetto era x 4/12</v>
          </cell>
          <cell r="AC54">
            <v>4353</v>
          </cell>
          <cell r="AD54">
            <v>113474.18133239359</v>
          </cell>
          <cell r="AE54">
            <v>100104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Z76"/>
  <sheetViews>
    <sheetView zoomScaleNormal="100" workbookViewId="0">
      <pane xSplit="3" ySplit="5" topLeftCell="E6" activePane="bottomRight" state="frozen"/>
      <selection activeCell="B10" sqref="B10"/>
      <selection pane="topRight" activeCell="B10" sqref="B10"/>
      <selection pane="bottomLeft" activeCell="B10" sqref="B10"/>
      <selection pane="bottomRight" activeCell="B19" sqref="B19:B20"/>
    </sheetView>
  </sheetViews>
  <sheetFormatPr defaultColWidth="8.85546875" defaultRowHeight="15" x14ac:dyDescent="0.25"/>
  <cols>
    <col min="1" max="1" width="7.85546875" style="3" bestFit="1" customWidth="1"/>
    <col min="2" max="2" width="72.28515625" style="2" bestFit="1" customWidth="1"/>
    <col min="3" max="3" width="10" style="1" customWidth="1"/>
    <col min="4" max="4" width="10.140625" style="1" customWidth="1"/>
    <col min="5" max="5" width="11.5703125" style="1" bestFit="1" customWidth="1"/>
    <col min="6" max="6" width="14.140625" style="1" customWidth="1"/>
    <col min="7" max="9" width="14.28515625" style="1" bestFit="1" customWidth="1"/>
    <col min="10" max="10" width="8" style="1" customWidth="1"/>
    <col min="11" max="11" width="7.85546875" style="1" bestFit="1" customWidth="1"/>
    <col min="12" max="12" width="10.140625" style="1" bestFit="1" customWidth="1"/>
    <col min="13" max="15" width="11.5703125" style="1" bestFit="1" customWidth="1"/>
    <col min="16" max="16" width="11.7109375" style="1" bestFit="1" customWidth="1"/>
    <col min="17" max="17" width="8.7109375" style="1" customWidth="1"/>
    <col min="18" max="18" width="8" style="1" bestFit="1" customWidth="1"/>
    <col min="19" max="19" width="10.140625" style="1" bestFit="1" customWidth="1"/>
    <col min="20" max="20" width="8" style="1" customWidth="1"/>
    <col min="21" max="21" width="10" style="1" customWidth="1"/>
    <col min="22" max="22" width="7.5703125" style="1" bestFit="1" customWidth="1"/>
    <col min="23" max="23" width="4.7109375" style="1" customWidth="1"/>
    <col min="24" max="24" width="10.140625" style="1" bestFit="1" customWidth="1"/>
    <col min="25" max="25" width="18.42578125" style="1" bestFit="1" customWidth="1"/>
    <col min="26" max="26" width="18.7109375" style="1" bestFit="1" customWidth="1"/>
    <col min="27" max="27" width="8" style="1" customWidth="1"/>
    <col min="28" max="28" width="7.85546875" style="1" customWidth="1"/>
    <col min="29" max="29" width="10.140625" style="1" bestFit="1" customWidth="1"/>
    <col min="30" max="30" width="9.7109375" style="1" customWidth="1"/>
    <col min="31" max="31" width="8.140625" style="1" customWidth="1"/>
    <col min="32" max="33" width="10.7109375" style="1" customWidth="1"/>
    <col min="34" max="16384" width="8.85546875" style="1"/>
  </cols>
  <sheetData>
    <row r="1" spans="1:26" ht="31.9" customHeight="1" x14ac:dyDescent="0.35">
      <c r="A1" s="38" t="s">
        <v>115</v>
      </c>
      <c r="D1" s="37"/>
    </row>
    <row r="2" spans="1:26" ht="16.5" thickBot="1" x14ac:dyDescent="0.3">
      <c r="A2" s="36">
        <v>1</v>
      </c>
      <c r="B2" s="36">
        <v>2</v>
      </c>
      <c r="C2" s="36">
        <v>3</v>
      </c>
      <c r="D2" s="36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36">
        <v>10</v>
      </c>
      <c r="K2" s="48">
        <v>11</v>
      </c>
      <c r="L2" s="48">
        <v>12</v>
      </c>
      <c r="M2" s="48">
        <v>13</v>
      </c>
      <c r="N2" s="48">
        <v>14</v>
      </c>
      <c r="O2" s="48">
        <v>15</v>
      </c>
      <c r="P2" s="48">
        <v>16</v>
      </c>
      <c r="Q2" s="48">
        <v>17</v>
      </c>
      <c r="R2" s="35">
        <v>18</v>
      </c>
      <c r="S2" s="35">
        <v>19</v>
      </c>
      <c r="T2" s="35">
        <v>20</v>
      </c>
      <c r="U2" s="35">
        <v>21</v>
      </c>
      <c r="X2" s="34"/>
      <c r="Y2" s="34"/>
      <c r="Z2" s="34"/>
    </row>
    <row r="3" spans="1:26" ht="22.15" customHeight="1" x14ac:dyDescent="0.25">
      <c r="A3" s="32" t="s">
        <v>28</v>
      </c>
      <c r="B3" s="52" t="s">
        <v>113</v>
      </c>
      <c r="C3" s="106" t="s">
        <v>27</v>
      </c>
      <c r="D3" s="107" t="s">
        <v>32</v>
      </c>
      <c r="E3" s="108" t="s">
        <v>31</v>
      </c>
      <c r="F3" s="108" t="s">
        <v>24</v>
      </c>
      <c r="G3" s="111" t="s">
        <v>42</v>
      </c>
      <c r="H3" s="139" t="s">
        <v>30</v>
      </c>
      <c r="I3" s="115" t="s">
        <v>29</v>
      </c>
      <c r="J3" s="126" t="s">
        <v>41</v>
      </c>
      <c r="K3" s="135" t="s">
        <v>67</v>
      </c>
      <c r="L3" s="136"/>
      <c r="M3" s="137"/>
      <c r="N3" s="125" t="s">
        <v>21</v>
      </c>
      <c r="O3" s="125"/>
      <c r="P3" s="125"/>
      <c r="Q3" s="138" t="s">
        <v>37</v>
      </c>
      <c r="R3" s="129" t="s">
        <v>44</v>
      </c>
      <c r="S3" s="130"/>
      <c r="T3" s="130"/>
      <c r="U3" s="131"/>
      <c r="V3" s="28">
        <v>0.02</v>
      </c>
      <c r="X3" s="120" t="s">
        <v>20</v>
      </c>
      <c r="Y3" s="121"/>
      <c r="Z3" s="122"/>
    </row>
    <row r="4" spans="1:26" ht="22.15" customHeight="1" x14ac:dyDescent="0.25">
      <c r="A4" s="32" t="s">
        <v>19</v>
      </c>
      <c r="B4" s="53" t="s">
        <v>114</v>
      </c>
      <c r="C4" s="106"/>
      <c r="D4" s="107"/>
      <c r="E4" s="109"/>
      <c r="F4" s="109"/>
      <c r="G4" s="112"/>
      <c r="H4" s="139"/>
      <c r="I4" s="116"/>
      <c r="J4" s="109"/>
      <c r="K4" s="123" t="s">
        <v>18</v>
      </c>
      <c r="L4" s="123" t="s">
        <v>17</v>
      </c>
      <c r="M4" s="123" t="s">
        <v>16</v>
      </c>
      <c r="N4" s="125" t="s">
        <v>76</v>
      </c>
      <c r="O4" s="125"/>
      <c r="P4" s="125"/>
      <c r="Q4" s="138"/>
      <c r="R4" s="132"/>
      <c r="S4" s="133"/>
      <c r="T4" s="133"/>
      <c r="U4" s="134"/>
      <c r="V4" s="28">
        <v>0</v>
      </c>
      <c r="X4" s="118" t="s">
        <v>14</v>
      </c>
      <c r="Y4" s="127" t="s">
        <v>13</v>
      </c>
      <c r="Z4" s="127" t="s">
        <v>12</v>
      </c>
    </row>
    <row r="5" spans="1:26" ht="22.15" customHeight="1" thickBot="1" x14ac:dyDescent="0.3">
      <c r="A5" s="54" t="s">
        <v>11</v>
      </c>
      <c r="B5" s="55" t="s">
        <v>10</v>
      </c>
      <c r="C5" s="106"/>
      <c r="D5" s="56" t="s">
        <v>9</v>
      </c>
      <c r="E5" s="110"/>
      <c r="F5" s="110"/>
      <c r="G5" s="113"/>
      <c r="H5" s="139"/>
      <c r="I5" s="117"/>
      <c r="J5" s="110"/>
      <c r="K5" s="124"/>
      <c r="L5" s="124"/>
      <c r="M5" s="124"/>
      <c r="N5" s="57" t="s">
        <v>8</v>
      </c>
      <c r="O5" s="57" t="s">
        <v>7</v>
      </c>
      <c r="P5" s="57" t="s">
        <v>6</v>
      </c>
      <c r="Q5" s="138"/>
      <c r="R5" s="58" t="s">
        <v>45</v>
      </c>
      <c r="S5" s="50" t="s">
        <v>46</v>
      </c>
      <c r="T5" s="50" t="s">
        <v>47</v>
      </c>
      <c r="U5" s="50" t="s">
        <v>48</v>
      </c>
      <c r="V5" s="28">
        <v>-0.02</v>
      </c>
      <c r="X5" s="119"/>
      <c r="Y5" s="128"/>
      <c r="Z5" s="128"/>
    </row>
    <row r="6" spans="1:26" ht="14.45" customHeight="1" x14ac:dyDescent="0.25">
      <c r="A6" s="97">
        <v>440005</v>
      </c>
      <c r="B6" s="27" t="s">
        <v>84</v>
      </c>
      <c r="C6" s="72" t="s">
        <v>72</v>
      </c>
      <c r="D6" s="104">
        <v>13.493760583151976</v>
      </c>
      <c r="E6" s="7">
        <v>7912</v>
      </c>
      <c r="F6" s="25">
        <f>E6*D6</f>
        <v>106762.63373389844</v>
      </c>
      <c r="G6" s="25">
        <f t="shared" ref="G6:G34" si="0">F6/F$35*G$35</f>
        <v>43137.313607576689</v>
      </c>
      <c r="H6" s="20">
        <v>115803</v>
      </c>
      <c r="I6" s="26">
        <f t="shared" ref="I6:I34" si="1">SUM(X6:Z6)</f>
        <v>123058.48100000528</v>
      </c>
      <c r="J6" s="24">
        <f t="shared" ref="J6:J34" si="2">G6/AVERAGE(H6,I6)</f>
        <v>0.36119104199622487</v>
      </c>
      <c r="K6" s="97">
        <v>470120</v>
      </c>
      <c r="L6" s="27">
        <f>+VLOOKUP(K6,'[2]2.2 BV'!$A$26:$AE$54,31,0)</f>
        <v>6564</v>
      </c>
      <c r="M6" s="76">
        <v>1</v>
      </c>
      <c r="N6" s="78">
        <f>+L6</f>
        <v>6564</v>
      </c>
      <c r="O6" s="78"/>
      <c r="P6" s="78"/>
      <c r="Q6" s="22">
        <f>(N6*V$3)+(O6*V$4)+(P6*V$5)</f>
        <v>131.28</v>
      </c>
      <c r="R6" s="97">
        <v>440005</v>
      </c>
      <c r="S6" s="21">
        <f t="shared" ref="S6:S34" si="3">+VLOOKUP(R6,$K$6:$L$34,2,0)</f>
        <v>123058.48100000528</v>
      </c>
      <c r="T6" s="21">
        <f t="shared" ref="T6:T34" si="4">VLOOKUP(R6,$K$6:$Q$35,7,FALSE)</f>
        <v>-2461.1696200001056</v>
      </c>
      <c r="U6" s="51">
        <f>T6+S6</f>
        <v>120597.31138000518</v>
      </c>
      <c r="X6" s="98">
        <v>115803</v>
      </c>
      <c r="Y6" s="98">
        <v>7255.4810000052821</v>
      </c>
      <c r="Z6" s="98">
        <v>0</v>
      </c>
    </row>
    <row r="7" spans="1:26" ht="14.45" customHeight="1" x14ac:dyDescent="0.25">
      <c r="A7" s="97">
        <v>440006</v>
      </c>
      <c r="B7" s="27" t="s">
        <v>85</v>
      </c>
      <c r="C7" s="72" t="s">
        <v>72</v>
      </c>
      <c r="D7" s="104">
        <v>21.897239963079997</v>
      </c>
      <c r="E7" s="7">
        <v>5750</v>
      </c>
      <c r="F7" s="25">
        <f t="shared" ref="F7:F34" si="5">E7*D7</f>
        <v>125909.12978770999</v>
      </c>
      <c r="G7" s="25">
        <f t="shared" si="0"/>
        <v>50873.432283873968</v>
      </c>
      <c r="H7" s="20">
        <v>33830</v>
      </c>
      <c r="I7" s="26">
        <f t="shared" si="1"/>
        <v>32089.6800000002</v>
      </c>
      <c r="J7" s="24">
        <f>+G7/H7</f>
        <v>1.5037964021245631</v>
      </c>
      <c r="K7" s="97" t="s">
        <v>107</v>
      </c>
      <c r="L7" s="27">
        <f>+VLOOKUP(K7,'[2]2.2 BV'!$A$26:$AE$54,31,0)</f>
        <v>100104</v>
      </c>
      <c r="M7" s="77">
        <v>2</v>
      </c>
      <c r="N7" s="78">
        <f t="shared" ref="N7:N20" si="6">+L7</f>
        <v>100104</v>
      </c>
      <c r="O7" s="78"/>
      <c r="P7" s="78"/>
      <c r="Q7" s="22">
        <f t="shared" ref="Q7:Q34" si="7">(N7*V$3)+(O7*V$4)+(P7*V$5)</f>
        <v>2002.0800000000002</v>
      </c>
      <c r="R7" s="97">
        <v>440006</v>
      </c>
      <c r="S7" s="21">
        <f t="shared" si="3"/>
        <v>33830</v>
      </c>
      <c r="T7" s="21">
        <f t="shared" si="4"/>
        <v>676.6</v>
      </c>
      <c r="U7" s="51">
        <f t="shared" ref="U7:U34" si="8">T7+S7</f>
        <v>34506.6</v>
      </c>
      <c r="X7" s="98">
        <v>32089.680000000255</v>
      </c>
      <c r="Y7" s="98">
        <v>-5.4569682106375694E-11</v>
      </c>
      <c r="Z7" s="98">
        <v>0</v>
      </c>
    </row>
    <row r="8" spans="1:26" ht="14.45" customHeight="1" x14ac:dyDescent="0.25">
      <c r="A8" s="97">
        <v>440076</v>
      </c>
      <c r="B8" s="27" t="s">
        <v>77</v>
      </c>
      <c r="C8" s="72" t="s">
        <v>72</v>
      </c>
      <c r="D8" s="104">
        <v>24.259997031483255</v>
      </c>
      <c r="E8" s="7">
        <v>4400</v>
      </c>
      <c r="F8" s="25">
        <f t="shared" si="5"/>
        <v>106743.98693852633</v>
      </c>
      <c r="G8" s="25">
        <f t="shared" si="0"/>
        <v>43129.779392359138</v>
      </c>
      <c r="H8" s="20">
        <v>10068</v>
      </c>
      <c r="I8" s="26">
        <f t="shared" si="1"/>
        <v>7077.7799999999625</v>
      </c>
      <c r="J8" s="24">
        <f t="shared" si="2"/>
        <v>5.0309498188311332</v>
      </c>
      <c r="K8" s="97">
        <v>440076</v>
      </c>
      <c r="L8" s="27">
        <f>+VLOOKUP(K8,'[2]2.2 BV'!$A$26:$AE$54,31,0)</f>
        <v>10068</v>
      </c>
      <c r="M8" s="76">
        <v>3</v>
      </c>
      <c r="N8" s="78">
        <f t="shared" si="6"/>
        <v>10068</v>
      </c>
      <c r="O8" s="78"/>
      <c r="P8" s="78"/>
      <c r="Q8" s="22">
        <f t="shared" si="7"/>
        <v>201.36</v>
      </c>
      <c r="R8" s="97">
        <v>440076</v>
      </c>
      <c r="S8" s="21">
        <f t="shared" si="3"/>
        <v>10068</v>
      </c>
      <c r="T8" s="21">
        <f t="shared" si="4"/>
        <v>201.36</v>
      </c>
      <c r="U8" s="51">
        <f t="shared" si="8"/>
        <v>10269.36</v>
      </c>
      <c r="X8" s="98">
        <v>7077.7799999999625</v>
      </c>
      <c r="Y8" s="98">
        <v>0</v>
      </c>
      <c r="Z8" s="98">
        <v>0</v>
      </c>
    </row>
    <row r="9" spans="1:26" ht="14.45" customHeight="1" x14ac:dyDescent="0.25">
      <c r="A9" s="97">
        <v>450046</v>
      </c>
      <c r="B9" s="27" t="s">
        <v>78</v>
      </c>
      <c r="C9" s="72" t="s">
        <v>72</v>
      </c>
      <c r="D9" s="104">
        <v>16.843930935628745</v>
      </c>
      <c r="E9" s="7">
        <v>12144</v>
      </c>
      <c r="F9" s="25">
        <f t="shared" si="5"/>
        <v>204552.69728227548</v>
      </c>
      <c r="G9" s="25">
        <f t="shared" si="0"/>
        <v>82649.271035541475</v>
      </c>
      <c r="H9" s="20">
        <v>79201.010000000009</v>
      </c>
      <c r="I9" s="26">
        <f t="shared" si="1"/>
        <v>53500.210000000006</v>
      </c>
      <c r="J9" s="24">
        <f t="shared" si="2"/>
        <v>1.2456444791621577</v>
      </c>
      <c r="K9" s="97">
        <v>520307</v>
      </c>
      <c r="L9" s="27">
        <f>+VLOOKUP(K9,'[2]2.2 BV'!$A$26:$AE$54,31,0)</f>
        <v>27168.680000000048</v>
      </c>
      <c r="M9" s="76">
        <v>4</v>
      </c>
      <c r="N9" s="78">
        <f t="shared" si="6"/>
        <v>27168.680000000048</v>
      </c>
      <c r="O9" s="78"/>
      <c r="P9" s="78"/>
      <c r="Q9" s="22">
        <f t="shared" si="7"/>
        <v>543.37360000000092</v>
      </c>
      <c r="R9" s="97">
        <v>450046</v>
      </c>
      <c r="S9" s="21">
        <f t="shared" si="3"/>
        <v>79201.010000000009</v>
      </c>
      <c r="T9" s="21">
        <f t="shared" si="4"/>
        <v>1584.0202000000002</v>
      </c>
      <c r="U9" s="51">
        <f t="shared" si="8"/>
        <v>80785.030200000008</v>
      </c>
      <c r="X9" s="98">
        <v>53500.210000000006</v>
      </c>
      <c r="Y9" s="98">
        <v>0</v>
      </c>
      <c r="Z9" s="98">
        <v>0</v>
      </c>
    </row>
    <row r="10" spans="1:26" ht="14.45" customHeight="1" x14ac:dyDescent="0.25">
      <c r="A10" s="97">
        <v>450064</v>
      </c>
      <c r="B10" s="27" t="s">
        <v>86</v>
      </c>
      <c r="C10" s="72" t="s">
        <v>72</v>
      </c>
      <c r="D10" s="104">
        <v>21.759800413920313</v>
      </c>
      <c r="E10" s="7">
        <v>5290</v>
      </c>
      <c r="F10" s="25">
        <f t="shared" si="5"/>
        <v>115109.34418963846</v>
      </c>
      <c r="G10" s="25">
        <f t="shared" si="0"/>
        <v>46509.791916966453</v>
      </c>
      <c r="H10" s="20">
        <v>15918</v>
      </c>
      <c r="I10" s="26">
        <f t="shared" si="1"/>
        <v>11407.268999999986</v>
      </c>
      <c r="J10" s="24">
        <f t="shared" si="2"/>
        <v>3.4041598578199892</v>
      </c>
      <c r="K10" s="97">
        <v>450064</v>
      </c>
      <c r="L10" s="27">
        <f>+VLOOKUP(K10,'[2]2.2 BV'!$A$26:$AE$54,31,0)</f>
        <v>15918</v>
      </c>
      <c r="M10" s="77">
        <v>5</v>
      </c>
      <c r="N10" s="78">
        <f t="shared" si="6"/>
        <v>15918</v>
      </c>
      <c r="O10" s="78"/>
      <c r="P10" s="78"/>
      <c r="Q10" s="22">
        <f t="shared" si="7"/>
        <v>318.36</v>
      </c>
      <c r="R10" s="97">
        <v>450064</v>
      </c>
      <c r="S10" s="21">
        <f t="shared" si="3"/>
        <v>15918</v>
      </c>
      <c r="T10" s="21">
        <f t="shared" si="4"/>
        <v>318.36</v>
      </c>
      <c r="U10" s="51">
        <f t="shared" si="8"/>
        <v>16236.36</v>
      </c>
      <c r="X10" s="98">
        <v>11407.268999999953</v>
      </c>
      <c r="Y10" s="98">
        <v>3.2741809263825417E-11</v>
      </c>
      <c r="Z10" s="98">
        <v>0</v>
      </c>
    </row>
    <row r="11" spans="1:26" ht="14.45" customHeight="1" x14ac:dyDescent="0.25">
      <c r="A11" s="97">
        <v>450065</v>
      </c>
      <c r="B11" s="27" t="s">
        <v>87</v>
      </c>
      <c r="C11" s="72" t="s">
        <v>72</v>
      </c>
      <c r="D11" s="104"/>
      <c r="E11" s="7">
        <v>0</v>
      </c>
      <c r="F11" s="25">
        <f t="shared" si="5"/>
        <v>0</v>
      </c>
      <c r="G11" s="25">
        <f t="shared" si="0"/>
        <v>0</v>
      </c>
      <c r="H11" s="20">
        <v>0</v>
      </c>
      <c r="I11" s="26">
        <f t="shared" si="1"/>
        <v>0</v>
      </c>
      <c r="J11" s="24">
        <v>0</v>
      </c>
      <c r="K11" s="97">
        <v>520313</v>
      </c>
      <c r="L11" s="27">
        <f>+VLOOKUP(K11,'[2]2.2 BV'!$A$26:$AE$54,31,0)</f>
        <v>109156</v>
      </c>
      <c r="M11" s="76">
        <v>6</v>
      </c>
      <c r="N11" s="78">
        <f t="shared" si="6"/>
        <v>109156</v>
      </c>
      <c r="O11" s="78"/>
      <c r="P11" s="78"/>
      <c r="Q11" s="22">
        <f t="shared" si="7"/>
        <v>2183.12</v>
      </c>
      <c r="R11" s="97">
        <v>450065</v>
      </c>
      <c r="S11" s="21">
        <f t="shared" si="3"/>
        <v>0</v>
      </c>
      <c r="T11" s="21">
        <f t="shared" si="4"/>
        <v>0</v>
      </c>
      <c r="U11" s="51">
        <f t="shared" si="8"/>
        <v>0</v>
      </c>
      <c r="X11" s="98">
        <v>0</v>
      </c>
      <c r="Y11" s="98">
        <v>0</v>
      </c>
      <c r="Z11" s="98">
        <v>0</v>
      </c>
    </row>
    <row r="12" spans="1:26" ht="14.45" customHeight="1" x14ac:dyDescent="0.25">
      <c r="A12" s="97">
        <v>460094</v>
      </c>
      <c r="B12" s="27" t="s">
        <v>88</v>
      </c>
      <c r="C12" s="72" t="s">
        <v>72</v>
      </c>
      <c r="D12" s="104">
        <v>22.219434993738222</v>
      </c>
      <c r="E12" s="7">
        <v>11040</v>
      </c>
      <c r="F12" s="25">
        <f t="shared" si="5"/>
        <v>245302.56233086996</v>
      </c>
      <c r="G12" s="25">
        <f t="shared" si="0"/>
        <v>99114.204941621312</v>
      </c>
      <c r="H12" s="20">
        <v>87602</v>
      </c>
      <c r="I12" s="26">
        <f t="shared" si="1"/>
        <v>86296.91</v>
      </c>
      <c r="J12" s="24">
        <f t="shared" si="2"/>
        <v>1.1399059941390237</v>
      </c>
      <c r="K12" s="97">
        <v>530443</v>
      </c>
      <c r="L12" s="27">
        <f>+VLOOKUP(K12,'[2]2.2 BV'!$A$26:$AE$54,31,0)</f>
        <v>112169.98700000119</v>
      </c>
      <c r="M12" s="76">
        <v>7</v>
      </c>
      <c r="N12" s="78">
        <f t="shared" si="6"/>
        <v>112169.98700000119</v>
      </c>
      <c r="O12" s="78"/>
      <c r="P12" s="78"/>
      <c r="Q12" s="22">
        <f t="shared" si="7"/>
        <v>2243.3997400000239</v>
      </c>
      <c r="R12" s="97">
        <v>460094</v>
      </c>
      <c r="S12" s="21">
        <f t="shared" si="3"/>
        <v>87602</v>
      </c>
      <c r="T12" s="21">
        <f t="shared" si="4"/>
        <v>0</v>
      </c>
      <c r="U12" s="51">
        <f t="shared" si="8"/>
        <v>87602</v>
      </c>
      <c r="X12" s="98">
        <v>86296.91</v>
      </c>
      <c r="Y12" s="98">
        <v>0</v>
      </c>
      <c r="Z12" s="98">
        <v>0</v>
      </c>
    </row>
    <row r="13" spans="1:26" ht="14.45" customHeight="1" x14ac:dyDescent="0.25">
      <c r="A13" s="102">
        <v>460136</v>
      </c>
      <c r="B13" s="27" t="s">
        <v>89</v>
      </c>
      <c r="C13" s="72" t="s">
        <v>72</v>
      </c>
      <c r="D13" s="104">
        <v>82.63</v>
      </c>
      <c r="E13" s="7">
        <v>6875</v>
      </c>
      <c r="F13" s="25">
        <f t="shared" si="5"/>
        <v>568081.25</v>
      </c>
      <c r="G13" s="25">
        <f t="shared" si="0"/>
        <v>229532.54503736895</v>
      </c>
      <c r="H13" s="20">
        <v>0</v>
      </c>
      <c r="I13" s="26">
        <f t="shared" si="1"/>
        <v>0</v>
      </c>
      <c r="J13" s="24">
        <v>0</v>
      </c>
      <c r="K13" s="97">
        <v>510259</v>
      </c>
      <c r="L13" s="27">
        <f>+VLOOKUP(K13,'[2]2.2 BV'!$A$26:$AE$54,31,0)</f>
        <v>114518.05000000086</v>
      </c>
      <c r="M13" s="77">
        <v>8</v>
      </c>
      <c r="N13" s="78">
        <f t="shared" si="6"/>
        <v>114518.05000000086</v>
      </c>
      <c r="O13" s="78"/>
      <c r="P13" s="78"/>
      <c r="Q13" s="22">
        <f t="shared" si="7"/>
        <v>2290.3610000000172</v>
      </c>
      <c r="R13" s="102">
        <v>460136</v>
      </c>
      <c r="S13" s="21">
        <f t="shared" si="3"/>
        <v>145754</v>
      </c>
      <c r="T13" s="21">
        <f t="shared" si="4"/>
        <v>0</v>
      </c>
      <c r="U13" s="51">
        <f t="shared" si="8"/>
        <v>145754</v>
      </c>
      <c r="X13" s="99"/>
      <c r="Y13" s="99"/>
      <c r="Z13" s="99"/>
    </row>
    <row r="14" spans="1:26" ht="14.45" customHeight="1" x14ac:dyDescent="0.25">
      <c r="A14" s="97">
        <v>470120</v>
      </c>
      <c r="B14" s="27" t="s">
        <v>90</v>
      </c>
      <c r="C14" s="72" t="s">
        <v>72</v>
      </c>
      <c r="D14" s="104">
        <v>17.112052787791495</v>
      </c>
      <c r="E14" s="7">
        <v>7728</v>
      </c>
      <c r="F14" s="25">
        <f t="shared" si="5"/>
        <v>132241.94394405268</v>
      </c>
      <c r="G14" s="25">
        <f t="shared" si="0"/>
        <v>53432.198218419457</v>
      </c>
      <c r="H14" s="20">
        <v>6564</v>
      </c>
      <c r="I14" s="26">
        <f t="shared" si="1"/>
        <v>3544.9399999999878</v>
      </c>
      <c r="J14" s="24">
        <f t="shared" si="2"/>
        <v>10.571276161183967</v>
      </c>
      <c r="K14" s="97">
        <v>440006</v>
      </c>
      <c r="L14" s="27">
        <f>+VLOOKUP(K14,'[2]2.2 BV'!$A$26:$AE$54,31,0)</f>
        <v>33830</v>
      </c>
      <c r="M14" s="76">
        <v>9</v>
      </c>
      <c r="N14" s="78">
        <f t="shared" si="6"/>
        <v>33830</v>
      </c>
      <c r="O14" s="78"/>
      <c r="P14" s="78"/>
      <c r="Q14" s="22">
        <f t="shared" si="7"/>
        <v>676.6</v>
      </c>
      <c r="R14" s="97">
        <v>470120</v>
      </c>
      <c r="S14" s="21">
        <f t="shared" si="3"/>
        <v>6564</v>
      </c>
      <c r="T14" s="21">
        <f t="shared" si="4"/>
        <v>131.28</v>
      </c>
      <c r="U14" s="51">
        <f t="shared" si="8"/>
        <v>6695.28</v>
      </c>
      <c r="X14" s="98">
        <v>3544.9399999999878</v>
      </c>
      <c r="Y14" s="98">
        <v>0</v>
      </c>
      <c r="Z14" s="98">
        <v>0</v>
      </c>
    </row>
    <row r="15" spans="1:26" x14ac:dyDescent="0.25">
      <c r="A15" s="97">
        <v>470131</v>
      </c>
      <c r="B15" s="27" t="s">
        <v>91</v>
      </c>
      <c r="C15" s="72" t="s">
        <v>72</v>
      </c>
      <c r="D15" s="104">
        <v>21.004055885124732</v>
      </c>
      <c r="E15" s="7">
        <v>14490</v>
      </c>
      <c r="F15" s="25">
        <f t="shared" si="5"/>
        <v>304348.76977545739</v>
      </c>
      <c r="G15" s="25">
        <f t="shared" si="0"/>
        <v>122971.75396222463</v>
      </c>
      <c r="H15" s="20">
        <v>230293</v>
      </c>
      <c r="I15" s="26">
        <f t="shared" si="1"/>
        <v>186448.8850000072</v>
      </c>
      <c r="J15" s="24">
        <f t="shared" si="2"/>
        <v>0.59015788135729386</v>
      </c>
      <c r="K15" s="97">
        <v>510260</v>
      </c>
      <c r="L15" s="27">
        <f>+VLOOKUP(K15,'[2]2.2 BV'!$A$26:$AE$54,31,0)</f>
        <v>59135.607000000105</v>
      </c>
      <c r="M15" s="76">
        <v>10</v>
      </c>
      <c r="N15" s="78">
        <f t="shared" si="6"/>
        <v>59135.607000000105</v>
      </c>
      <c r="O15" s="78"/>
      <c r="P15" s="78"/>
      <c r="Q15" s="22">
        <f t="shared" si="7"/>
        <v>1182.7121400000021</v>
      </c>
      <c r="R15" s="97">
        <v>470131</v>
      </c>
      <c r="S15" s="21">
        <f t="shared" si="3"/>
        <v>230293</v>
      </c>
      <c r="T15" s="21">
        <f t="shared" si="4"/>
        <v>-4605.8599999999997</v>
      </c>
      <c r="U15" s="51">
        <f t="shared" si="8"/>
        <v>225687.14</v>
      </c>
      <c r="X15" s="98">
        <v>186448.8850000072</v>
      </c>
      <c r="Y15" s="98">
        <v>0</v>
      </c>
      <c r="Z15" s="98">
        <v>0</v>
      </c>
    </row>
    <row r="16" spans="1:26" ht="14.45" customHeight="1" x14ac:dyDescent="0.25">
      <c r="A16" s="97">
        <v>470134</v>
      </c>
      <c r="B16" s="27" t="s">
        <v>92</v>
      </c>
      <c r="C16" s="72" t="s">
        <v>72</v>
      </c>
      <c r="D16" s="104">
        <v>26.286927041636048</v>
      </c>
      <c r="E16" s="7">
        <v>20056</v>
      </c>
      <c r="F16" s="25">
        <f t="shared" si="5"/>
        <v>527210.60874705261</v>
      </c>
      <c r="G16" s="25">
        <f t="shared" si="0"/>
        <v>213018.81165134665</v>
      </c>
      <c r="H16" s="20">
        <v>319013</v>
      </c>
      <c r="I16" s="26">
        <f t="shared" si="1"/>
        <v>321588.15899999707</v>
      </c>
      <c r="J16" s="24">
        <f t="shared" si="2"/>
        <v>0.66505908913395406</v>
      </c>
      <c r="K16" s="97" t="s">
        <v>105</v>
      </c>
      <c r="L16" s="27">
        <f>+VLOOKUP(K16,'[2]2.2 BV'!$A$26:$AE$54,31,0)</f>
        <v>309750</v>
      </c>
      <c r="M16" s="77">
        <v>11</v>
      </c>
      <c r="N16" s="78">
        <f>+L16</f>
        <v>309750</v>
      </c>
      <c r="O16" s="78"/>
      <c r="P16" s="78"/>
      <c r="Q16" s="22">
        <f t="shared" si="7"/>
        <v>6195</v>
      </c>
      <c r="R16" s="97">
        <v>470134</v>
      </c>
      <c r="S16" s="21">
        <f t="shared" si="3"/>
        <v>321588.15899999707</v>
      </c>
      <c r="T16" s="21">
        <f t="shared" si="4"/>
        <v>-6431.7631799999417</v>
      </c>
      <c r="U16" s="51">
        <f t="shared" si="8"/>
        <v>315156.39581999712</v>
      </c>
      <c r="X16" s="98">
        <v>319013</v>
      </c>
      <c r="Y16" s="98">
        <v>2575.1589999970793</v>
      </c>
      <c r="Z16" s="98">
        <v>0</v>
      </c>
    </row>
    <row r="17" spans="1:26" ht="14.45" customHeight="1" x14ac:dyDescent="0.25">
      <c r="A17" s="97">
        <v>470135</v>
      </c>
      <c r="B17" s="27" t="s">
        <v>93</v>
      </c>
      <c r="C17" s="72" t="s">
        <v>72</v>
      </c>
      <c r="D17" s="104">
        <v>26.235191914217602</v>
      </c>
      <c r="E17" s="7">
        <v>16774</v>
      </c>
      <c r="F17" s="25">
        <f t="shared" si="5"/>
        <v>440069.10916908603</v>
      </c>
      <c r="G17" s="25">
        <f t="shared" si="0"/>
        <v>177809.39367371847</v>
      </c>
      <c r="H17" s="20">
        <v>140002</v>
      </c>
      <c r="I17" s="26">
        <f t="shared" si="1"/>
        <v>143397.97000000128</v>
      </c>
      <c r="J17" s="24">
        <f t="shared" si="2"/>
        <v>1.2548300105587005</v>
      </c>
      <c r="K17" s="97">
        <v>530337</v>
      </c>
      <c r="L17" s="27">
        <f>+VLOOKUP(K17,'[2]2.2 BV'!$A$26:$AE$54,31,0)</f>
        <v>115752</v>
      </c>
      <c r="M17" s="76">
        <v>12</v>
      </c>
      <c r="N17" s="78">
        <f t="shared" si="6"/>
        <v>115752</v>
      </c>
      <c r="O17" s="78"/>
      <c r="P17" s="78"/>
      <c r="Q17" s="22">
        <f t="shared" si="7"/>
        <v>2315.04</v>
      </c>
      <c r="R17" s="97">
        <v>470135</v>
      </c>
      <c r="S17" s="21">
        <f t="shared" si="3"/>
        <v>143397.97000000128</v>
      </c>
      <c r="T17" s="21">
        <f t="shared" si="4"/>
        <v>2867.9594000000257</v>
      </c>
      <c r="U17" s="51">
        <f t="shared" si="8"/>
        <v>146265.9294000013</v>
      </c>
      <c r="X17" s="98">
        <v>140002</v>
      </c>
      <c r="Y17" s="98">
        <v>3395.9700000012817</v>
      </c>
      <c r="Z17" s="98">
        <v>0</v>
      </c>
    </row>
    <row r="18" spans="1:26" ht="14.45" customHeight="1" x14ac:dyDescent="0.25">
      <c r="A18" s="97">
        <v>480203</v>
      </c>
      <c r="B18" s="27" t="s">
        <v>94</v>
      </c>
      <c r="C18" s="72" t="s">
        <v>72</v>
      </c>
      <c r="D18" s="104">
        <v>26.583886632334071</v>
      </c>
      <c r="E18" s="7">
        <v>48576</v>
      </c>
      <c r="F18" s="25">
        <f t="shared" si="5"/>
        <v>1291338.8770522599</v>
      </c>
      <c r="G18" s="25">
        <f t="shared" si="0"/>
        <v>521763.91837523825</v>
      </c>
      <c r="H18" s="20">
        <v>366830</v>
      </c>
      <c r="I18" s="26">
        <f t="shared" si="1"/>
        <v>477796.39199998393</v>
      </c>
      <c r="J18" s="24">
        <f t="shared" si="2"/>
        <v>1.2354904448101787</v>
      </c>
      <c r="K18" s="97">
        <v>470135</v>
      </c>
      <c r="L18" s="27">
        <f>+VLOOKUP(K18,'[2]2.2 BV'!$A$26:$AE$54,31,0)</f>
        <v>143397.97000000128</v>
      </c>
      <c r="M18" s="76">
        <v>13</v>
      </c>
      <c r="N18" s="78">
        <f t="shared" si="6"/>
        <v>143397.97000000128</v>
      </c>
      <c r="O18" s="78"/>
      <c r="P18" s="78"/>
      <c r="Q18" s="22">
        <f t="shared" si="7"/>
        <v>2867.9594000000257</v>
      </c>
      <c r="R18" s="97">
        <v>480203</v>
      </c>
      <c r="S18" s="21">
        <f t="shared" si="3"/>
        <v>403513</v>
      </c>
      <c r="T18" s="21">
        <f t="shared" si="4"/>
        <v>8070.26</v>
      </c>
      <c r="U18" s="51">
        <f t="shared" si="8"/>
        <v>411583.26</v>
      </c>
      <c r="X18" s="98">
        <v>366830</v>
      </c>
      <c r="Y18" s="98">
        <v>36683</v>
      </c>
      <c r="Z18" s="98">
        <v>74283.391999983927</v>
      </c>
    </row>
    <row r="19" spans="1:26" ht="14.45" customHeight="1" x14ac:dyDescent="0.25">
      <c r="A19" s="97">
        <v>480212</v>
      </c>
      <c r="B19" s="27" t="s">
        <v>79</v>
      </c>
      <c r="C19" s="72" t="s">
        <v>72</v>
      </c>
      <c r="D19" s="104">
        <v>13.561492223280625</v>
      </c>
      <c r="E19" s="7">
        <v>5704</v>
      </c>
      <c r="F19" s="25">
        <f t="shared" si="5"/>
        <v>77354.75164159268</v>
      </c>
      <c r="G19" s="25">
        <f t="shared" si="0"/>
        <v>31255.094258133609</v>
      </c>
      <c r="H19" s="20">
        <v>49521</v>
      </c>
      <c r="I19" s="26">
        <f t="shared" si="1"/>
        <v>10957.011999999855</v>
      </c>
      <c r="J19" s="24">
        <f t="shared" si="2"/>
        <v>1.0336019066940787</v>
      </c>
      <c r="K19" s="97">
        <v>450046</v>
      </c>
      <c r="L19" s="27">
        <f>+VLOOKUP(K19,'[2]2.2 BV'!$A$26:$AE$54,31,0)</f>
        <v>79201.010000000009</v>
      </c>
      <c r="M19" s="77">
        <v>14</v>
      </c>
      <c r="N19" s="78">
        <f t="shared" si="6"/>
        <v>79201.010000000009</v>
      </c>
      <c r="O19" s="78"/>
      <c r="P19" s="78"/>
      <c r="Q19" s="22">
        <f t="shared" si="7"/>
        <v>1584.0202000000002</v>
      </c>
      <c r="R19" s="97">
        <v>480212</v>
      </c>
      <c r="S19" s="21">
        <f t="shared" si="3"/>
        <v>49521</v>
      </c>
      <c r="T19" s="21">
        <f t="shared" si="4"/>
        <v>0</v>
      </c>
      <c r="U19" s="51">
        <f t="shared" si="8"/>
        <v>49521</v>
      </c>
      <c r="X19" s="98">
        <v>10957.011999999855</v>
      </c>
      <c r="Y19" s="98">
        <v>0</v>
      </c>
      <c r="Z19" s="98">
        <v>0</v>
      </c>
    </row>
    <row r="20" spans="1:26" ht="16.899999999999999" customHeight="1" x14ac:dyDescent="0.25">
      <c r="A20" s="97">
        <v>490199</v>
      </c>
      <c r="B20" s="27" t="s">
        <v>95</v>
      </c>
      <c r="C20" s="72" t="s">
        <v>72</v>
      </c>
      <c r="D20" s="104">
        <v>25.962429189419403</v>
      </c>
      <c r="E20" s="7">
        <v>42600</v>
      </c>
      <c r="F20" s="25">
        <f t="shared" si="5"/>
        <v>1105999.4834692667</v>
      </c>
      <c r="G20" s="25">
        <f t="shared" si="0"/>
        <v>446877.75956470362</v>
      </c>
      <c r="H20" s="20">
        <v>680451</v>
      </c>
      <c r="I20" s="26">
        <f t="shared" si="1"/>
        <v>694991.66399997915</v>
      </c>
      <c r="J20" s="24">
        <f t="shared" si="2"/>
        <v>0.64979482062177818</v>
      </c>
      <c r="K20" s="97">
        <v>480203</v>
      </c>
      <c r="L20" s="27">
        <f>+VLOOKUP(K20,'[2]2.2 BV'!$A$26:$AE$54,31,0)</f>
        <v>403513</v>
      </c>
      <c r="M20" s="76">
        <v>15</v>
      </c>
      <c r="N20" s="78">
        <f t="shared" si="6"/>
        <v>403513</v>
      </c>
      <c r="O20" s="78"/>
      <c r="P20" s="78"/>
      <c r="Q20" s="22">
        <f t="shared" si="7"/>
        <v>8070.26</v>
      </c>
      <c r="R20" s="97">
        <v>490199</v>
      </c>
      <c r="S20" s="21">
        <f t="shared" si="3"/>
        <v>694991.66399997915</v>
      </c>
      <c r="T20" s="21">
        <f t="shared" si="4"/>
        <v>-13899.833279999584</v>
      </c>
      <c r="U20" s="51">
        <f t="shared" si="8"/>
        <v>681091.8307199796</v>
      </c>
      <c r="X20" s="98">
        <v>680451</v>
      </c>
      <c r="Y20" s="98">
        <v>14540.663999979151</v>
      </c>
      <c r="Z20" s="98">
        <v>0</v>
      </c>
    </row>
    <row r="21" spans="1:26" x14ac:dyDescent="0.25">
      <c r="A21" s="97">
        <v>490200</v>
      </c>
      <c r="B21" s="27" t="s">
        <v>96</v>
      </c>
      <c r="C21" s="72" t="s">
        <v>72</v>
      </c>
      <c r="D21" s="104">
        <v>25.683125122493426</v>
      </c>
      <c r="E21" s="7">
        <v>25208</v>
      </c>
      <c r="F21" s="25">
        <f t="shared" si="5"/>
        <v>647420.21808781428</v>
      </c>
      <c r="G21" s="25">
        <f t="shared" si="0"/>
        <v>261589.35956140867</v>
      </c>
      <c r="H21" s="20">
        <v>223297</v>
      </c>
      <c r="I21" s="26">
        <f t="shared" si="1"/>
        <v>226719.26700000343</v>
      </c>
      <c r="J21" s="24">
        <f t="shared" si="2"/>
        <v>1.162577349949026</v>
      </c>
      <c r="K21" s="97">
        <v>490200</v>
      </c>
      <c r="L21" s="27">
        <f>+VLOOKUP(K21,'[2]2.2 BV'!$A$26:$AE$54,31,0)</f>
        <v>226719.26700000343</v>
      </c>
      <c r="M21" s="76">
        <v>16</v>
      </c>
      <c r="N21" s="78">
        <v>95984</v>
      </c>
      <c r="O21" s="78">
        <f>+L21-N21</f>
        <v>130735.26700000343</v>
      </c>
      <c r="P21" s="78"/>
      <c r="Q21" s="22">
        <f t="shared" si="7"/>
        <v>1919.68</v>
      </c>
      <c r="R21" s="97">
        <v>490200</v>
      </c>
      <c r="S21" s="21">
        <f t="shared" si="3"/>
        <v>226719.26700000343</v>
      </c>
      <c r="T21" s="21">
        <f t="shared" si="4"/>
        <v>1919.68</v>
      </c>
      <c r="U21" s="51">
        <f t="shared" si="8"/>
        <v>228638.94700000342</v>
      </c>
      <c r="X21" s="98">
        <v>223297</v>
      </c>
      <c r="Y21" s="98">
        <v>3422.2670000034163</v>
      </c>
      <c r="Z21" s="98">
        <v>0</v>
      </c>
    </row>
    <row r="22" spans="1:26" x14ac:dyDescent="0.25">
      <c r="A22" s="97">
        <v>500267</v>
      </c>
      <c r="B22" s="27" t="s">
        <v>97</v>
      </c>
      <c r="C22" s="72" t="s">
        <v>72</v>
      </c>
      <c r="D22" s="104">
        <v>13.528311934491919</v>
      </c>
      <c r="E22" s="7">
        <v>11500</v>
      </c>
      <c r="F22" s="25">
        <f t="shared" si="5"/>
        <v>155575.58724665706</v>
      </c>
      <c r="G22" s="25">
        <f t="shared" si="0"/>
        <v>62860.128698858549</v>
      </c>
      <c r="H22" s="20">
        <v>114533</v>
      </c>
      <c r="I22" s="26">
        <f t="shared" si="1"/>
        <v>131554</v>
      </c>
      <c r="J22" s="24">
        <f t="shared" si="2"/>
        <v>0.51087728078979022</v>
      </c>
      <c r="K22" s="102">
        <v>460136</v>
      </c>
      <c r="L22" s="27">
        <f>+VLOOKUP(K22,'[2]2.2 BV'!$A$26:$AE$54,31,0)</f>
        <v>145754</v>
      </c>
      <c r="M22" s="105" t="s">
        <v>72</v>
      </c>
      <c r="N22" s="78"/>
      <c r="O22" s="78">
        <f t="shared" ref="O22:O26" si="9">+L22-N22</f>
        <v>145754</v>
      </c>
      <c r="P22" s="78"/>
      <c r="Q22" s="22">
        <f t="shared" si="7"/>
        <v>0</v>
      </c>
      <c r="R22" s="97">
        <v>500267</v>
      </c>
      <c r="S22" s="21">
        <f t="shared" si="3"/>
        <v>125986</v>
      </c>
      <c r="T22" s="21">
        <f t="shared" si="4"/>
        <v>-2519.7200000000003</v>
      </c>
      <c r="U22" s="51">
        <f t="shared" si="8"/>
        <v>123466.28</v>
      </c>
      <c r="X22" s="98">
        <v>114533</v>
      </c>
      <c r="Y22" s="98">
        <v>11453</v>
      </c>
      <c r="Z22" s="98">
        <v>5568</v>
      </c>
    </row>
    <row r="23" spans="1:26" x14ac:dyDescent="0.25">
      <c r="A23" s="97">
        <v>510259</v>
      </c>
      <c r="B23" s="27" t="s">
        <v>98</v>
      </c>
      <c r="C23" s="72" t="s">
        <v>72</v>
      </c>
      <c r="D23" s="104">
        <v>25.179454400452101</v>
      </c>
      <c r="E23" s="7">
        <v>18216</v>
      </c>
      <c r="F23" s="25">
        <f t="shared" si="5"/>
        <v>458668.94135863549</v>
      </c>
      <c r="G23" s="25">
        <f t="shared" si="0"/>
        <v>185324.63347389718</v>
      </c>
      <c r="H23" s="20">
        <v>106489</v>
      </c>
      <c r="I23" s="26">
        <f t="shared" si="1"/>
        <v>114518.05000000086</v>
      </c>
      <c r="J23" s="24">
        <f t="shared" si="2"/>
        <v>1.6770925042789038</v>
      </c>
      <c r="K23" s="97">
        <v>460094</v>
      </c>
      <c r="L23" s="27">
        <f>+VLOOKUP(K23,'[2]2.2 BV'!$A$26:$AE$54,31,0)</f>
        <v>87602</v>
      </c>
      <c r="M23" s="77">
        <v>17</v>
      </c>
      <c r="N23" s="78"/>
      <c r="O23" s="78">
        <f t="shared" si="9"/>
        <v>87602</v>
      </c>
      <c r="P23" s="79"/>
      <c r="Q23" s="22">
        <f t="shared" si="7"/>
        <v>0</v>
      </c>
      <c r="R23" s="97">
        <v>510259</v>
      </c>
      <c r="S23" s="21">
        <f t="shared" si="3"/>
        <v>114518.05000000086</v>
      </c>
      <c r="T23" s="21">
        <f t="shared" si="4"/>
        <v>2290.3610000000172</v>
      </c>
      <c r="U23" s="51">
        <f t="shared" si="8"/>
        <v>116808.41100000088</v>
      </c>
      <c r="X23" s="98">
        <v>106489</v>
      </c>
      <c r="Y23" s="98">
        <v>8029.0500000008615</v>
      </c>
      <c r="Z23" s="98">
        <v>0</v>
      </c>
    </row>
    <row r="24" spans="1:26" x14ac:dyDescent="0.25">
      <c r="A24" s="97">
        <v>510260</v>
      </c>
      <c r="B24" s="27" t="s">
        <v>99</v>
      </c>
      <c r="C24" s="72" t="s">
        <v>72</v>
      </c>
      <c r="D24" s="104">
        <v>25.866720238513338</v>
      </c>
      <c r="E24" s="7">
        <v>7912</v>
      </c>
      <c r="F24" s="25">
        <f t="shared" si="5"/>
        <v>204657.49052711754</v>
      </c>
      <c r="G24" s="25">
        <f t="shared" si="0"/>
        <v>82691.612619938634</v>
      </c>
      <c r="H24" s="20">
        <v>58786</v>
      </c>
      <c r="I24" s="26">
        <f t="shared" si="1"/>
        <v>59135.607000000105</v>
      </c>
      <c r="J24" s="24">
        <f t="shared" si="2"/>
        <v>1.4024844932776155</v>
      </c>
      <c r="K24" s="97">
        <v>530433</v>
      </c>
      <c r="L24" s="27">
        <f>+VLOOKUP(K24,'[2]2.2 BV'!$A$26:$AE$54,31,0)</f>
        <v>75721</v>
      </c>
      <c r="M24" s="76">
        <v>18</v>
      </c>
      <c r="N24" s="78"/>
      <c r="O24" s="78">
        <f t="shared" si="9"/>
        <v>75721</v>
      </c>
      <c r="P24" s="80"/>
      <c r="Q24" s="22">
        <f t="shared" si="7"/>
        <v>0</v>
      </c>
      <c r="R24" s="97">
        <v>510260</v>
      </c>
      <c r="S24" s="21">
        <f t="shared" si="3"/>
        <v>59135.607000000105</v>
      </c>
      <c r="T24" s="21">
        <f t="shared" si="4"/>
        <v>1182.7121400000021</v>
      </c>
      <c r="U24" s="51">
        <f t="shared" si="8"/>
        <v>60318.319140000109</v>
      </c>
      <c r="X24" s="98">
        <v>58786</v>
      </c>
      <c r="Y24" s="98">
        <v>349.60700000010547</v>
      </c>
      <c r="Z24" s="98">
        <v>0</v>
      </c>
    </row>
    <row r="25" spans="1:26" x14ac:dyDescent="0.25">
      <c r="A25" s="97">
        <v>520307</v>
      </c>
      <c r="B25" s="27" t="s">
        <v>80</v>
      </c>
      <c r="C25" s="72" t="s">
        <v>72</v>
      </c>
      <c r="D25" s="104">
        <v>59.255737704918019</v>
      </c>
      <c r="E25" s="7">
        <v>5600</v>
      </c>
      <c r="F25" s="25">
        <f t="shared" si="5"/>
        <v>331832.13114754093</v>
      </c>
      <c r="G25" s="25">
        <f t="shared" si="0"/>
        <v>134076.37303197221</v>
      </c>
      <c r="H25" s="20">
        <v>27106</v>
      </c>
      <c r="I25" s="26">
        <f t="shared" si="1"/>
        <v>27168.680000000048</v>
      </c>
      <c r="J25" s="24">
        <f t="shared" si="2"/>
        <v>4.9406601027209032</v>
      </c>
      <c r="K25" s="97">
        <v>480212</v>
      </c>
      <c r="L25" s="27">
        <f>+VLOOKUP(K25,'[2]2.2 BV'!$A$26:$AE$54,31,0)</f>
        <v>49521</v>
      </c>
      <c r="M25" s="76">
        <v>19</v>
      </c>
      <c r="N25" s="78"/>
      <c r="O25" s="78">
        <f t="shared" si="9"/>
        <v>49521</v>
      </c>
      <c r="P25" s="80"/>
      <c r="Q25" s="22">
        <f t="shared" si="7"/>
        <v>0</v>
      </c>
      <c r="R25" s="97">
        <v>520307</v>
      </c>
      <c r="S25" s="21">
        <f t="shared" si="3"/>
        <v>27168.680000000048</v>
      </c>
      <c r="T25" s="21">
        <f t="shared" si="4"/>
        <v>543.37360000000092</v>
      </c>
      <c r="U25" s="51">
        <f t="shared" si="8"/>
        <v>27712.05360000005</v>
      </c>
      <c r="X25" s="98">
        <v>27106</v>
      </c>
      <c r="Y25" s="98">
        <v>62.680000000047585</v>
      </c>
      <c r="Z25" s="98">
        <v>0</v>
      </c>
    </row>
    <row r="26" spans="1:26" x14ac:dyDescent="0.25">
      <c r="A26" s="97">
        <v>520313</v>
      </c>
      <c r="B26" s="27" t="s">
        <v>100</v>
      </c>
      <c r="C26" s="72" t="s">
        <v>72</v>
      </c>
      <c r="D26" s="104">
        <v>25.903012365766504</v>
      </c>
      <c r="E26" s="7">
        <v>22700</v>
      </c>
      <c r="F26" s="25">
        <f t="shared" si="5"/>
        <v>587998.38070289965</v>
      </c>
      <c r="G26" s="25">
        <f t="shared" si="0"/>
        <v>237580.03771571117</v>
      </c>
      <c r="H26" s="20">
        <v>109156</v>
      </c>
      <c r="I26" s="26">
        <f t="shared" si="1"/>
        <v>105872.51900000277</v>
      </c>
      <c r="J26" s="24">
        <f t="shared" si="2"/>
        <v>2.2097537463456938</v>
      </c>
      <c r="K26" s="97" t="s">
        <v>82</v>
      </c>
      <c r="L26" s="27">
        <f>+VLOOKUP(K26,'[2]2.2 BV'!$A$26:$AE$54,31,0)</f>
        <v>266197.29400000704</v>
      </c>
      <c r="M26" s="77">
        <v>20</v>
      </c>
      <c r="N26" s="78"/>
      <c r="O26" s="78">
        <f t="shared" si="9"/>
        <v>266197.29400000704</v>
      </c>
      <c r="P26" s="80"/>
      <c r="Q26" s="22">
        <f t="shared" si="7"/>
        <v>0</v>
      </c>
      <c r="R26" s="97">
        <v>520313</v>
      </c>
      <c r="S26" s="21">
        <f t="shared" si="3"/>
        <v>109156</v>
      </c>
      <c r="T26" s="21">
        <f t="shared" si="4"/>
        <v>2183.12</v>
      </c>
      <c r="U26" s="51">
        <f t="shared" si="8"/>
        <v>111339.12</v>
      </c>
      <c r="X26" s="98">
        <v>105872.51900000277</v>
      </c>
      <c r="Y26" s="98">
        <v>0</v>
      </c>
      <c r="Z26" s="98">
        <v>0</v>
      </c>
    </row>
    <row r="27" spans="1:26" x14ac:dyDescent="0.25">
      <c r="A27" s="97">
        <v>530337</v>
      </c>
      <c r="B27" s="27" t="s">
        <v>81</v>
      </c>
      <c r="C27" s="72" t="s">
        <v>72</v>
      </c>
      <c r="D27" s="104">
        <v>21.255949755208281</v>
      </c>
      <c r="E27" s="7">
        <v>16950</v>
      </c>
      <c r="F27" s="25">
        <f t="shared" si="5"/>
        <v>360288.34835078038</v>
      </c>
      <c r="G27" s="25">
        <f t="shared" si="0"/>
        <v>145574.07332888522</v>
      </c>
      <c r="H27" s="20">
        <v>115752</v>
      </c>
      <c r="I27" s="26">
        <f t="shared" si="1"/>
        <v>112727.90000000001</v>
      </c>
      <c r="J27" s="24">
        <f t="shared" si="2"/>
        <v>1.2742834124917353</v>
      </c>
      <c r="K27" s="97">
        <v>530434</v>
      </c>
      <c r="L27" s="27">
        <f>+VLOOKUP(K27,'[2]2.2 BV'!$A$26:$AE$54,31,0)</f>
        <v>618297</v>
      </c>
      <c r="M27" s="76">
        <v>21</v>
      </c>
      <c r="N27" s="78"/>
      <c r="O27" s="78">
        <f>+L27</f>
        <v>618297</v>
      </c>
      <c r="P27" s="80"/>
      <c r="Q27" s="22">
        <f t="shared" si="7"/>
        <v>0</v>
      </c>
      <c r="R27" s="97">
        <v>530337</v>
      </c>
      <c r="S27" s="21">
        <f t="shared" si="3"/>
        <v>115752</v>
      </c>
      <c r="T27" s="21">
        <f t="shared" si="4"/>
        <v>2315.04</v>
      </c>
      <c r="U27" s="51">
        <f t="shared" si="8"/>
        <v>118067.04</v>
      </c>
      <c r="X27" s="98">
        <v>111733.83</v>
      </c>
      <c r="Y27" s="98">
        <v>994.07000000000698</v>
      </c>
      <c r="Z27" s="98">
        <v>0</v>
      </c>
    </row>
    <row r="28" spans="1:26" x14ac:dyDescent="0.25">
      <c r="A28" s="97">
        <v>530432</v>
      </c>
      <c r="B28" s="27" t="s">
        <v>101</v>
      </c>
      <c r="C28" s="72" t="s">
        <v>72</v>
      </c>
      <c r="D28" s="104">
        <v>25.889626018071215</v>
      </c>
      <c r="E28" s="7">
        <v>53000</v>
      </c>
      <c r="F28" s="25">
        <f t="shared" si="5"/>
        <v>1372150.1789577743</v>
      </c>
      <c r="G28" s="25">
        <f t="shared" si="0"/>
        <v>554415.62760548643</v>
      </c>
      <c r="H28" s="20">
        <v>588995</v>
      </c>
      <c r="I28" s="26">
        <f t="shared" si="1"/>
        <v>602716.31399998895</v>
      </c>
      <c r="J28" s="24">
        <f t="shared" si="2"/>
        <v>0.93045290598875952</v>
      </c>
      <c r="K28" s="97">
        <v>530432</v>
      </c>
      <c r="L28" s="27">
        <f>+VLOOKUP(K28,'[2]2.2 BV'!$A$26:$AE$54,31,0)</f>
        <v>602716.31399998895</v>
      </c>
      <c r="M28" s="76">
        <v>22</v>
      </c>
      <c r="N28" s="78"/>
      <c r="O28" s="78">
        <v>362403</v>
      </c>
      <c r="P28" s="80">
        <f>+L28-O28</f>
        <v>240313.31399998895</v>
      </c>
      <c r="Q28" s="22">
        <f t="shared" si="7"/>
        <v>-4806.2662799997788</v>
      </c>
      <c r="R28" s="97">
        <v>530432</v>
      </c>
      <c r="S28" s="21">
        <f t="shared" si="3"/>
        <v>602716.31399998895</v>
      </c>
      <c r="T28" s="21">
        <f t="shared" si="4"/>
        <v>-4806.2662799997788</v>
      </c>
      <c r="U28" s="51">
        <f t="shared" si="8"/>
        <v>597910.0477199892</v>
      </c>
      <c r="X28" s="98">
        <v>588995</v>
      </c>
      <c r="Y28" s="98">
        <v>13721.313999988954</v>
      </c>
      <c r="Z28" s="98">
        <v>0</v>
      </c>
    </row>
    <row r="29" spans="1:26" x14ac:dyDescent="0.25">
      <c r="A29" s="97">
        <v>530433</v>
      </c>
      <c r="B29" s="27" t="s">
        <v>102</v>
      </c>
      <c r="C29" s="72" t="s">
        <v>72</v>
      </c>
      <c r="D29" s="104">
        <v>13.867728694045132</v>
      </c>
      <c r="E29" s="7">
        <v>12500</v>
      </c>
      <c r="F29" s="25">
        <f t="shared" si="5"/>
        <v>173346.60867556414</v>
      </c>
      <c r="G29" s="25">
        <f t="shared" si="0"/>
        <v>70040.488509168543</v>
      </c>
      <c r="H29" s="20">
        <v>75721</v>
      </c>
      <c r="I29" s="26">
        <f t="shared" si="1"/>
        <v>54335.814000001701</v>
      </c>
      <c r="J29" s="24">
        <f t="shared" si="2"/>
        <v>1.0770752620338313</v>
      </c>
      <c r="K29" s="97">
        <v>470134</v>
      </c>
      <c r="L29" s="27">
        <f>+VLOOKUP(K29,'[2]2.2 BV'!$A$26:$AE$54,31,0)</f>
        <v>321588.15899999707</v>
      </c>
      <c r="M29" s="77">
        <v>23</v>
      </c>
      <c r="N29" s="78"/>
      <c r="O29" s="78"/>
      <c r="P29" s="80">
        <f>+L29</f>
        <v>321588.15899999707</v>
      </c>
      <c r="Q29" s="22">
        <f t="shared" si="7"/>
        <v>-6431.7631799999417</v>
      </c>
      <c r="R29" s="97">
        <v>530433</v>
      </c>
      <c r="S29" s="21">
        <f t="shared" si="3"/>
        <v>75721</v>
      </c>
      <c r="T29" s="21">
        <f t="shared" si="4"/>
        <v>0</v>
      </c>
      <c r="U29" s="51">
        <f t="shared" si="8"/>
        <v>75721</v>
      </c>
      <c r="X29" s="98">
        <v>54335.814000002181</v>
      </c>
      <c r="Y29" s="98">
        <v>-4.8021320253610611E-10</v>
      </c>
      <c r="Z29" s="98">
        <v>0</v>
      </c>
    </row>
    <row r="30" spans="1:26" x14ac:dyDescent="0.25">
      <c r="A30" s="97">
        <v>530434</v>
      </c>
      <c r="B30" s="27" t="s">
        <v>103</v>
      </c>
      <c r="C30" s="72" t="s">
        <v>72</v>
      </c>
      <c r="D30" s="104">
        <v>25.855131086746685</v>
      </c>
      <c r="E30" s="7">
        <v>40600</v>
      </c>
      <c r="F30" s="25">
        <f t="shared" si="5"/>
        <v>1049718.3221219154</v>
      </c>
      <c r="G30" s="25">
        <f t="shared" si="0"/>
        <v>424137.42409030389</v>
      </c>
      <c r="H30" s="20">
        <v>618297</v>
      </c>
      <c r="I30" s="26">
        <f t="shared" si="1"/>
        <v>247233.5920000019</v>
      </c>
      <c r="J30" s="24">
        <f t="shared" si="2"/>
        <v>0.98006339235275219</v>
      </c>
      <c r="K30" s="97">
        <v>490199</v>
      </c>
      <c r="L30" s="27">
        <f>+VLOOKUP(K30,'[2]2.2 BV'!$A$26:$AE$54,31,0)</f>
        <v>694991.66399997915</v>
      </c>
      <c r="M30" s="76">
        <v>24</v>
      </c>
      <c r="N30" s="78"/>
      <c r="O30" s="78"/>
      <c r="P30" s="80">
        <f>+L30</f>
        <v>694991.66399997915</v>
      </c>
      <c r="Q30" s="22">
        <f t="shared" si="7"/>
        <v>-13899.833279999584</v>
      </c>
      <c r="R30" s="97">
        <v>530434</v>
      </c>
      <c r="S30" s="21">
        <f t="shared" si="3"/>
        <v>618297</v>
      </c>
      <c r="T30" s="21">
        <f t="shared" si="4"/>
        <v>0</v>
      </c>
      <c r="U30" s="51">
        <f t="shared" si="8"/>
        <v>618297</v>
      </c>
      <c r="X30" s="98">
        <v>247233.5920000019</v>
      </c>
      <c r="Y30" s="98">
        <v>0</v>
      </c>
      <c r="Z30" s="98">
        <v>0</v>
      </c>
    </row>
    <row r="31" spans="1:26" x14ac:dyDescent="0.25">
      <c r="A31" s="97">
        <v>530443</v>
      </c>
      <c r="B31" s="27" t="s">
        <v>104</v>
      </c>
      <c r="C31" s="72" t="s">
        <v>72</v>
      </c>
      <c r="D31" s="104">
        <v>25.734116133996068</v>
      </c>
      <c r="E31" s="7">
        <v>21000</v>
      </c>
      <c r="F31" s="25">
        <f t="shared" si="5"/>
        <v>540416.43881391746</v>
      </c>
      <c r="G31" s="25">
        <f t="shared" si="0"/>
        <v>218354.61138875835</v>
      </c>
      <c r="H31" s="20">
        <v>109775</v>
      </c>
      <c r="I31" s="26">
        <f t="shared" si="1"/>
        <v>112169.98700000119</v>
      </c>
      <c r="J31" s="24">
        <f t="shared" si="2"/>
        <v>1.9676462563108685</v>
      </c>
      <c r="K31" s="97">
        <v>470131</v>
      </c>
      <c r="L31" s="27">
        <f>+VLOOKUP(K31,'[2]2.2 BV'!$A$26:$AE$54,31,0)</f>
        <v>230293</v>
      </c>
      <c r="M31" s="76">
        <v>25</v>
      </c>
      <c r="N31" s="78"/>
      <c r="O31" s="78"/>
      <c r="P31" s="80">
        <f t="shared" ref="P31:P33" si="10">+L31</f>
        <v>230293</v>
      </c>
      <c r="Q31" s="22">
        <f t="shared" si="7"/>
        <v>-4605.8599999999997</v>
      </c>
      <c r="R31" s="97">
        <v>530443</v>
      </c>
      <c r="S31" s="21">
        <f t="shared" si="3"/>
        <v>112169.98700000119</v>
      </c>
      <c r="T31" s="21">
        <f t="shared" si="4"/>
        <v>2243.3997400000239</v>
      </c>
      <c r="U31" s="51">
        <f t="shared" si="8"/>
        <v>114413.38674000121</v>
      </c>
      <c r="X31" s="98">
        <v>109775</v>
      </c>
      <c r="Y31" s="98">
        <v>2394.987000001187</v>
      </c>
      <c r="Z31" s="98">
        <v>0</v>
      </c>
    </row>
    <row r="32" spans="1:26" x14ac:dyDescent="0.25">
      <c r="A32" s="97" t="s">
        <v>82</v>
      </c>
      <c r="B32" s="27" t="s">
        <v>83</v>
      </c>
      <c r="C32" s="72" t="s">
        <v>72</v>
      </c>
      <c r="D32" s="104">
        <v>21.460066942909066</v>
      </c>
      <c r="E32" s="7">
        <v>30000</v>
      </c>
      <c r="F32" s="25">
        <f t="shared" si="5"/>
        <v>643802.00828727195</v>
      </c>
      <c r="G32" s="25">
        <f t="shared" si="0"/>
        <v>260127.42624817637</v>
      </c>
      <c r="H32" s="20">
        <v>260945</v>
      </c>
      <c r="I32" s="26">
        <f t="shared" si="1"/>
        <v>266197.29400000704</v>
      </c>
      <c r="J32" s="24">
        <f t="shared" si="2"/>
        <v>0.9869343788535887</v>
      </c>
      <c r="K32" s="97">
        <v>500267</v>
      </c>
      <c r="L32" s="27">
        <f>+VLOOKUP(K32,'[2]2.2 BV'!$A$26:$AE$54,31,0)</f>
        <v>125986</v>
      </c>
      <c r="M32" s="77">
        <v>26</v>
      </c>
      <c r="N32" s="78"/>
      <c r="O32" s="78"/>
      <c r="P32" s="80">
        <f t="shared" si="10"/>
        <v>125986</v>
      </c>
      <c r="Q32" s="22">
        <f t="shared" si="7"/>
        <v>-2519.7200000000003</v>
      </c>
      <c r="R32" s="97" t="s">
        <v>82</v>
      </c>
      <c r="S32" s="21">
        <f t="shared" si="3"/>
        <v>266197.29400000704</v>
      </c>
      <c r="T32" s="21">
        <f t="shared" si="4"/>
        <v>0</v>
      </c>
      <c r="U32" s="51">
        <f t="shared" si="8"/>
        <v>266197.29400000704</v>
      </c>
      <c r="X32" s="98">
        <v>260945</v>
      </c>
      <c r="Y32" s="98">
        <v>5252.2940000070375</v>
      </c>
      <c r="Z32" s="98">
        <v>0</v>
      </c>
    </row>
    <row r="33" spans="1:26" x14ac:dyDescent="0.25">
      <c r="A33" s="97" t="s">
        <v>105</v>
      </c>
      <c r="B33" s="27" t="s">
        <v>106</v>
      </c>
      <c r="C33" s="72" t="s">
        <v>72</v>
      </c>
      <c r="D33" s="104">
        <v>26.107642286229485</v>
      </c>
      <c r="E33" s="7">
        <v>21400</v>
      </c>
      <c r="F33" s="25">
        <f t="shared" si="5"/>
        <v>558703.544925311</v>
      </c>
      <c r="G33" s="25">
        <f t="shared" si="0"/>
        <v>225743.49459361078</v>
      </c>
      <c r="H33" s="20">
        <v>206500</v>
      </c>
      <c r="I33" s="26">
        <f t="shared" si="1"/>
        <v>121894.36300000086</v>
      </c>
      <c r="J33" s="24">
        <f t="shared" si="2"/>
        <v>1.3748317268991015</v>
      </c>
      <c r="K33" s="97">
        <v>440005</v>
      </c>
      <c r="L33" s="27">
        <f>+VLOOKUP(K33,'[2]2.2 BV'!$A$26:$AE$54,31,0)</f>
        <v>123058.48100000528</v>
      </c>
      <c r="M33" s="76">
        <v>27</v>
      </c>
      <c r="N33" s="78"/>
      <c r="O33" s="78"/>
      <c r="P33" s="80">
        <f t="shared" si="10"/>
        <v>123058.48100000528</v>
      </c>
      <c r="Q33" s="22">
        <f t="shared" si="7"/>
        <v>-2461.1696200001056</v>
      </c>
      <c r="R33" s="97" t="s">
        <v>105</v>
      </c>
      <c r="S33" s="21">
        <f t="shared" si="3"/>
        <v>309750</v>
      </c>
      <c r="T33" s="21">
        <f t="shared" si="4"/>
        <v>6195</v>
      </c>
      <c r="U33" s="51">
        <f t="shared" si="8"/>
        <v>315945</v>
      </c>
      <c r="X33" s="98">
        <v>121894.36300000129</v>
      </c>
      <c r="Y33" s="98">
        <v>-4.3655745685100555E-10</v>
      </c>
      <c r="Z33" s="98">
        <v>0</v>
      </c>
    </row>
    <row r="34" spans="1:26" x14ac:dyDescent="0.25">
      <c r="A34" s="97" t="s">
        <v>107</v>
      </c>
      <c r="B34" s="27" t="s">
        <v>108</v>
      </c>
      <c r="C34" s="72" t="s">
        <v>72</v>
      </c>
      <c r="D34" s="104">
        <v>26.066380082730106</v>
      </c>
      <c r="E34" s="7">
        <v>17480</v>
      </c>
      <c r="F34" s="25">
        <f t="shared" si="5"/>
        <v>455640.32384612225</v>
      </c>
      <c r="G34" s="25">
        <f t="shared" si="0"/>
        <v>184100.92421471654</v>
      </c>
      <c r="H34" s="20">
        <v>33368</v>
      </c>
      <c r="I34" s="26">
        <f t="shared" si="1"/>
        <v>31972.35</v>
      </c>
      <c r="J34" s="24">
        <f t="shared" si="2"/>
        <v>5.6351373757476519</v>
      </c>
      <c r="K34" s="97">
        <v>450065</v>
      </c>
      <c r="L34" s="27">
        <f>+VLOOKUP(K34,'[2]2.2 BV'!$A$26:$AE$54,31,0)</f>
        <v>0</v>
      </c>
      <c r="M34" s="77" t="s">
        <v>72</v>
      </c>
      <c r="N34" s="78"/>
      <c r="O34" s="78"/>
      <c r="P34" s="80">
        <f>+L34-O34</f>
        <v>0</v>
      </c>
      <c r="Q34" s="22">
        <f t="shared" si="7"/>
        <v>0</v>
      </c>
      <c r="R34" s="97" t="s">
        <v>107</v>
      </c>
      <c r="S34" s="21">
        <f t="shared" si="3"/>
        <v>100104</v>
      </c>
      <c r="T34" s="21">
        <f t="shared" si="4"/>
        <v>2002.0800000000002</v>
      </c>
      <c r="U34" s="51">
        <f t="shared" si="8"/>
        <v>102106.08</v>
      </c>
      <c r="X34" s="98">
        <v>31972.35</v>
      </c>
      <c r="Y34" s="98">
        <v>0</v>
      </c>
      <c r="Z34" s="98">
        <v>0</v>
      </c>
    </row>
    <row r="35" spans="1:26" x14ac:dyDescent="0.25">
      <c r="E35" s="94">
        <f>SUM(E6:E34)</f>
        <v>513405</v>
      </c>
      <c r="F35" s="94">
        <f>SUM(F6:F34)</f>
        <v>12891243.671111008</v>
      </c>
      <c r="G35" s="15">
        <v>5208691.4829999851</v>
      </c>
      <c r="H35" s="94">
        <f>SUM(H6:H34)</f>
        <v>4783816.01</v>
      </c>
      <c r="I35" s="94">
        <f>SUM(I6:I34)</f>
        <v>4366371.088999982</v>
      </c>
      <c r="J35" s="94">
        <f>SUM(J6:J34)</f>
        <v>54.815728096473258</v>
      </c>
      <c r="L35" s="1">
        <f>SUM(L6:L34)</f>
        <v>5208691.4829999851</v>
      </c>
      <c r="N35" s="81">
        <f>SUM(N6:N34)</f>
        <v>1736230.3040000035</v>
      </c>
      <c r="O35" s="81">
        <f>SUM(O6:O34)</f>
        <v>1736230.5610000105</v>
      </c>
      <c r="P35" s="81">
        <f>SUM(P6:P34)</f>
        <v>1736230.6179999704</v>
      </c>
      <c r="Q35" s="17">
        <f>SUM(Q6:Q34)</f>
        <v>-6.2799993406770227E-3</v>
      </c>
      <c r="S35" s="1">
        <f>SUM(S6:S34)</f>
        <v>5208691.4829999851</v>
      </c>
      <c r="T35" s="21">
        <f>SUM(T6:T34)</f>
        <v>-6.2799993427233858E-3</v>
      </c>
      <c r="U35" s="1">
        <f>SUM(U6:U34)</f>
        <v>5208691.4767199857</v>
      </c>
      <c r="X35" s="1">
        <f>SUM(X6:X34)</f>
        <v>4176390.1540000155</v>
      </c>
      <c r="Y35" s="1">
        <f>SUM(Y6:Y34)</f>
        <v>110129.54299998347</v>
      </c>
      <c r="Z35" s="1">
        <f>SUM(Z6:Z34)</f>
        <v>79851.391999983927</v>
      </c>
    </row>
    <row r="36" spans="1:26" x14ac:dyDescent="0.25">
      <c r="A36" s="71" t="s">
        <v>71</v>
      </c>
      <c r="L36" s="1">
        <f>+L35/3</f>
        <v>1736230.4943333284</v>
      </c>
      <c r="N36" s="11">
        <f>$L36-N35</f>
        <v>0.1903333249501884</v>
      </c>
      <c r="O36" s="11">
        <f>$L36-O35</f>
        <v>-6.6666682017967105E-2</v>
      </c>
      <c r="P36" s="11">
        <f>$L36-P35</f>
        <v>-0.12366664200089872</v>
      </c>
      <c r="T36" s="21"/>
    </row>
    <row r="37" spans="1:26" x14ac:dyDescent="0.25">
      <c r="A37" s="71" t="s">
        <v>70</v>
      </c>
    </row>
    <row r="45" spans="1:26" ht="18.75" x14ac:dyDescent="0.3">
      <c r="C45" s="114" t="s">
        <v>38</v>
      </c>
      <c r="D45" s="114"/>
      <c r="E45" s="114"/>
      <c r="F45" s="114"/>
    </row>
    <row r="46" spans="1:26" ht="26.25" x14ac:dyDescent="0.25">
      <c r="C46" s="9" t="s">
        <v>36</v>
      </c>
      <c r="D46" s="8" t="s">
        <v>2</v>
      </c>
      <c r="E46" s="46" t="s">
        <v>17</v>
      </c>
      <c r="F46" s="8" t="s">
        <v>0</v>
      </c>
    </row>
    <row r="47" spans="1:26" x14ac:dyDescent="0.25">
      <c r="C47" s="24">
        <v>10.571276161183967</v>
      </c>
      <c r="D47" s="97">
        <v>470120</v>
      </c>
      <c r="E47" s="27">
        <v>6564</v>
      </c>
      <c r="F47" s="77">
        <v>1</v>
      </c>
    </row>
    <row r="48" spans="1:26" x14ac:dyDescent="0.25">
      <c r="C48" s="24">
        <v>5.6351373757476519</v>
      </c>
      <c r="D48" s="97" t="s">
        <v>107</v>
      </c>
      <c r="E48" s="27">
        <v>100104</v>
      </c>
      <c r="F48" s="76">
        <v>2</v>
      </c>
    </row>
    <row r="49" spans="3:6" x14ac:dyDescent="0.25">
      <c r="C49" s="24">
        <v>5.0309498188311332</v>
      </c>
      <c r="D49" s="97">
        <v>440076</v>
      </c>
      <c r="E49" s="27">
        <v>10068</v>
      </c>
      <c r="F49" s="77">
        <v>3</v>
      </c>
    </row>
    <row r="50" spans="3:6" x14ac:dyDescent="0.25">
      <c r="C50" s="24">
        <v>4.9406601027209032</v>
      </c>
      <c r="D50" s="97">
        <v>520307</v>
      </c>
      <c r="E50" s="27">
        <v>27168.680000000048</v>
      </c>
      <c r="F50" s="77">
        <v>4</v>
      </c>
    </row>
    <row r="51" spans="3:6" x14ac:dyDescent="0.25">
      <c r="C51" s="24">
        <v>3.4041598578199892</v>
      </c>
      <c r="D51" s="97">
        <v>450064</v>
      </c>
      <c r="E51" s="27">
        <v>15918</v>
      </c>
      <c r="F51" s="76">
        <v>5</v>
      </c>
    </row>
    <row r="52" spans="3:6" x14ac:dyDescent="0.25">
      <c r="C52" s="24">
        <v>2.2097537463456938</v>
      </c>
      <c r="D52" s="97">
        <v>520313</v>
      </c>
      <c r="E52" s="27">
        <v>109156</v>
      </c>
      <c r="F52" s="77">
        <v>6</v>
      </c>
    </row>
    <row r="53" spans="3:6" x14ac:dyDescent="0.25">
      <c r="C53" s="24">
        <v>1.9676462563108685</v>
      </c>
      <c r="D53" s="97">
        <v>530443</v>
      </c>
      <c r="E53" s="27">
        <v>112169.98700000119</v>
      </c>
      <c r="F53" s="77">
        <v>7</v>
      </c>
    </row>
    <row r="54" spans="3:6" x14ac:dyDescent="0.25">
      <c r="C54" s="24">
        <v>1.6770925042789038</v>
      </c>
      <c r="D54" s="97">
        <v>510259</v>
      </c>
      <c r="E54" s="27">
        <v>114518.05000000086</v>
      </c>
      <c r="F54" s="76">
        <v>8</v>
      </c>
    </row>
    <row r="55" spans="3:6" x14ac:dyDescent="0.25">
      <c r="C55" s="24">
        <v>1.5037964021245631</v>
      </c>
      <c r="D55" s="97">
        <v>440006</v>
      </c>
      <c r="E55" s="27">
        <v>33830</v>
      </c>
      <c r="F55" s="77">
        <v>9</v>
      </c>
    </row>
    <row r="56" spans="3:6" x14ac:dyDescent="0.25">
      <c r="C56" s="24">
        <v>1.4024844932776155</v>
      </c>
      <c r="D56" s="97">
        <v>510260</v>
      </c>
      <c r="E56" s="27">
        <v>59135.607000000105</v>
      </c>
      <c r="F56" s="77">
        <v>10</v>
      </c>
    </row>
    <row r="57" spans="3:6" x14ac:dyDescent="0.25">
      <c r="C57" s="24">
        <v>1.3748317268991015</v>
      </c>
      <c r="D57" s="97" t="s">
        <v>105</v>
      </c>
      <c r="E57" s="27">
        <v>309750</v>
      </c>
      <c r="F57" s="76">
        <v>11</v>
      </c>
    </row>
    <row r="58" spans="3:6" x14ac:dyDescent="0.25">
      <c r="C58" s="24">
        <v>1.2742834124917353</v>
      </c>
      <c r="D58" s="97">
        <v>530337</v>
      </c>
      <c r="E58" s="27">
        <v>115752</v>
      </c>
      <c r="F58" s="77">
        <v>12</v>
      </c>
    </row>
    <row r="59" spans="3:6" x14ac:dyDescent="0.25">
      <c r="C59" s="24">
        <v>1.2548300105587005</v>
      </c>
      <c r="D59" s="97">
        <v>470135</v>
      </c>
      <c r="E59" s="27">
        <v>143397.97000000128</v>
      </c>
      <c r="F59" s="77">
        <v>13</v>
      </c>
    </row>
    <row r="60" spans="3:6" x14ac:dyDescent="0.25">
      <c r="C60" s="24">
        <v>1.2456444791621577</v>
      </c>
      <c r="D60" s="97">
        <v>450046</v>
      </c>
      <c r="E60" s="27">
        <v>79201.010000000009</v>
      </c>
      <c r="F60" s="76">
        <v>14</v>
      </c>
    </row>
    <row r="61" spans="3:6" x14ac:dyDescent="0.25">
      <c r="C61" s="24">
        <v>1.2354904448101787</v>
      </c>
      <c r="D61" s="97">
        <v>480203</v>
      </c>
      <c r="E61" s="27">
        <v>403513</v>
      </c>
      <c r="F61" s="77">
        <v>15</v>
      </c>
    </row>
    <row r="62" spans="3:6" x14ac:dyDescent="0.25">
      <c r="C62" s="24">
        <v>1.162577349949026</v>
      </c>
      <c r="D62" s="97">
        <v>490200</v>
      </c>
      <c r="E62" s="27">
        <v>226719.26700000343</v>
      </c>
      <c r="F62" s="77">
        <v>16</v>
      </c>
    </row>
    <row r="63" spans="3:6" x14ac:dyDescent="0.25">
      <c r="C63" s="24">
        <v>1.1399059941390237</v>
      </c>
      <c r="D63" s="97">
        <v>460094</v>
      </c>
      <c r="E63" s="27">
        <v>87602</v>
      </c>
      <c r="F63" s="76">
        <v>17</v>
      </c>
    </row>
    <row r="64" spans="3:6" x14ac:dyDescent="0.25">
      <c r="C64" s="24">
        <v>1.0770752620338313</v>
      </c>
      <c r="D64" s="97">
        <v>530433</v>
      </c>
      <c r="E64" s="27">
        <v>75721</v>
      </c>
      <c r="F64" s="77">
        <v>18</v>
      </c>
    </row>
    <row r="65" spans="3:6" x14ac:dyDescent="0.25">
      <c r="C65" s="24">
        <v>1.0336019066940787</v>
      </c>
      <c r="D65" s="97">
        <v>480212</v>
      </c>
      <c r="E65" s="27">
        <v>49521</v>
      </c>
      <c r="F65" s="77">
        <v>19</v>
      </c>
    </row>
    <row r="66" spans="3:6" x14ac:dyDescent="0.25">
      <c r="C66" s="24">
        <v>0.9869343788535887</v>
      </c>
      <c r="D66" s="97" t="s">
        <v>82</v>
      </c>
      <c r="E66" s="27">
        <v>266197.29400000704</v>
      </c>
      <c r="F66" s="76">
        <v>20</v>
      </c>
    </row>
    <row r="67" spans="3:6" x14ac:dyDescent="0.25">
      <c r="C67" s="24">
        <v>0.98006339235275219</v>
      </c>
      <c r="D67" s="97">
        <v>530434</v>
      </c>
      <c r="E67" s="27">
        <v>618297</v>
      </c>
      <c r="F67" s="77">
        <v>21</v>
      </c>
    </row>
    <row r="68" spans="3:6" x14ac:dyDescent="0.25">
      <c r="C68" s="24">
        <v>0.93045290598875952</v>
      </c>
      <c r="D68" s="97">
        <v>530432</v>
      </c>
      <c r="E68" s="27">
        <v>602716.31399998895</v>
      </c>
      <c r="F68" s="77">
        <v>22</v>
      </c>
    </row>
    <row r="69" spans="3:6" x14ac:dyDescent="0.25">
      <c r="C69" s="24">
        <v>0.66505908913395406</v>
      </c>
      <c r="D69" s="97">
        <v>470134</v>
      </c>
      <c r="E69" s="27">
        <v>321588.15899999707</v>
      </c>
      <c r="F69" s="76">
        <v>23</v>
      </c>
    </row>
    <row r="70" spans="3:6" x14ac:dyDescent="0.25">
      <c r="C70" s="24">
        <v>0.64979482062177818</v>
      </c>
      <c r="D70" s="97">
        <v>490199</v>
      </c>
      <c r="E70" s="27">
        <v>694991.66399997915</v>
      </c>
      <c r="F70" s="77">
        <v>24</v>
      </c>
    </row>
    <row r="71" spans="3:6" x14ac:dyDescent="0.25">
      <c r="C71" s="24">
        <v>0.59015788135729386</v>
      </c>
      <c r="D71" s="97">
        <v>470131</v>
      </c>
      <c r="E71" s="27">
        <v>230293</v>
      </c>
      <c r="F71" s="77">
        <v>25</v>
      </c>
    </row>
    <row r="72" spans="3:6" x14ac:dyDescent="0.25">
      <c r="C72" s="24">
        <v>0.51087728078979022</v>
      </c>
      <c r="D72" s="97">
        <v>500267</v>
      </c>
      <c r="E72" s="27">
        <v>125986</v>
      </c>
      <c r="F72" s="76">
        <v>26</v>
      </c>
    </row>
    <row r="73" spans="3:6" x14ac:dyDescent="0.25">
      <c r="C73" s="24">
        <v>0.36119104199622487</v>
      </c>
      <c r="D73" s="97">
        <v>440005</v>
      </c>
      <c r="E73" s="27">
        <v>123058.48100000528</v>
      </c>
      <c r="F73" s="77">
        <v>27</v>
      </c>
    </row>
    <row r="74" spans="3:6" x14ac:dyDescent="0.25">
      <c r="C74" s="24">
        <v>0</v>
      </c>
      <c r="D74" s="102">
        <v>460136</v>
      </c>
      <c r="E74" s="27">
        <v>145754</v>
      </c>
      <c r="F74" s="76">
        <v>28</v>
      </c>
    </row>
    <row r="75" spans="3:6" x14ac:dyDescent="0.25">
      <c r="C75" s="24">
        <v>0</v>
      </c>
      <c r="D75" s="97">
        <v>450065</v>
      </c>
      <c r="E75" s="27">
        <v>0</v>
      </c>
      <c r="F75" s="77">
        <v>29</v>
      </c>
    </row>
    <row r="76" spans="3:6" x14ac:dyDescent="0.25">
      <c r="E76" s="1">
        <f>SUM(E47:E75)</f>
        <v>5208691.4829999851</v>
      </c>
    </row>
  </sheetData>
  <sheetProtection algorithmName="SHA-512" hashValue="4/uiBX3/8bz4qC2yrd29GcsB8uSQgcksNvOvjsc4FKmOjVtgMWiTteY+ELZFT0ocHvQyxB4mdiGzb46nVjKcmg==" saltValue="Iz18RxOpT8UubTvJI3xJ9w==" spinCount="100000" sheet="1" objects="1" scenarios="1"/>
  <sortState ref="C47:F75">
    <sortCondition descending="1" ref="C47:C75"/>
  </sortState>
  <mergeCells count="21">
    <mergeCell ref="C45:F45"/>
    <mergeCell ref="I3:I5"/>
    <mergeCell ref="X4:X5"/>
    <mergeCell ref="X3:Z3"/>
    <mergeCell ref="L4:L5"/>
    <mergeCell ref="M4:M5"/>
    <mergeCell ref="N4:P4"/>
    <mergeCell ref="J3:J5"/>
    <mergeCell ref="Y4:Y5"/>
    <mergeCell ref="R3:U4"/>
    <mergeCell ref="K3:M3"/>
    <mergeCell ref="N3:P3"/>
    <mergeCell ref="Q3:Q5"/>
    <mergeCell ref="K4:K5"/>
    <mergeCell ref="Z4:Z5"/>
    <mergeCell ref="H3:H5"/>
    <mergeCell ref="C3:C5"/>
    <mergeCell ref="D3:D4"/>
    <mergeCell ref="E3:E5"/>
    <mergeCell ref="F3:F5"/>
    <mergeCell ref="G3:G5"/>
  </mergeCells>
  <printOptions horizontalCentered="1"/>
  <pageMargins left="0.70866141732283472" right="0.70866141732283472" top="1.1417322834645669" bottom="0.55118110236220474" header="0.70866141732283472" footer="0.31496062992125984"/>
  <pageSetup paperSize="9" scale="65" orientation="landscape" r:id="rId1"/>
  <headerFooter>
    <oddHeader>&amp;C&amp;"-,Grassetto"&amp;22INDICAZIONI OPERATIVE: Allegato CA_01</oddHeader>
    <oddFooter>&amp;Cpag.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X71"/>
  <sheetViews>
    <sheetView zoomScaleNormal="100" workbookViewId="0">
      <pane xSplit="3" ySplit="5" topLeftCell="D6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8.85546875" defaultRowHeight="15" x14ac:dyDescent="0.25"/>
  <cols>
    <col min="1" max="1" width="7.85546875" style="3" bestFit="1" customWidth="1"/>
    <col min="2" max="2" width="72.28515625" style="2" bestFit="1" customWidth="1"/>
    <col min="3" max="3" width="4.7109375" style="1" customWidth="1"/>
    <col min="4" max="4" width="5.42578125" style="1" bestFit="1" customWidth="1"/>
    <col min="5" max="5" width="9.140625" style="1" bestFit="1" customWidth="1"/>
    <col min="6" max="6" width="10.140625" style="1" bestFit="1" customWidth="1"/>
    <col min="7" max="7" width="10.140625" style="1" customWidth="1"/>
    <col min="8" max="8" width="11" style="1" customWidth="1"/>
    <col min="9" max="9" width="10.140625" style="1" bestFit="1" customWidth="1"/>
    <col min="10" max="10" width="8" style="1" customWidth="1"/>
    <col min="11" max="11" width="7.85546875" style="1" bestFit="1" customWidth="1"/>
    <col min="12" max="12" width="10.140625" style="1" bestFit="1" customWidth="1"/>
    <col min="13" max="14" width="13.85546875" style="1" customWidth="1"/>
    <col min="15" max="15" width="10.85546875" style="1" bestFit="1" customWidth="1"/>
    <col min="16" max="16" width="10.140625" style="1" bestFit="1" customWidth="1"/>
    <col min="17" max="17" width="8.7109375" style="1" customWidth="1"/>
    <col min="18" max="18" width="8.28515625" style="1" bestFit="1" customWidth="1"/>
    <col min="19" max="19" width="10.140625" style="1" bestFit="1" customWidth="1"/>
    <col min="20" max="20" width="8.28515625" style="1" customWidth="1"/>
    <col min="21" max="21" width="14.28515625" style="1" bestFit="1" customWidth="1"/>
    <col min="22" max="22" width="7.5703125" style="1" bestFit="1" customWidth="1"/>
    <col min="23" max="23" width="4.7109375" style="1" customWidth="1"/>
    <col min="24" max="24" width="9.7109375" style="1" customWidth="1"/>
    <col min="25" max="25" width="8.140625" style="1" customWidth="1"/>
    <col min="26" max="27" width="10.7109375" style="1" customWidth="1"/>
    <col min="28" max="16384" width="8.85546875" style="1"/>
  </cols>
  <sheetData>
    <row r="1" spans="1:24" ht="31.9" customHeight="1" x14ac:dyDescent="0.35">
      <c r="A1" s="38" t="s">
        <v>115</v>
      </c>
      <c r="D1" s="37"/>
    </row>
    <row r="2" spans="1:24" ht="15.75" x14ac:dyDescent="0.25">
      <c r="A2" s="36">
        <v>1</v>
      </c>
      <c r="B2" s="36">
        <v>2</v>
      </c>
      <c r="C2" s="36">
        <v>3</v>
      </c>
      <c r="D2" s="36">
        <v>4</v>
      </c>
      <c r="E2" s="36">
        <v>5</v>
      </c>
      <c r="F2" s="36">
        <v>6</v>
      </c>
      <c r="G2" s="36">
        <v>7</v>
      </c>
      <c r="H2" s="36">
        <v>8</v>
      </c>
      <c r="I2" s="36">
        <v>9</v>
      </c>
      <c r="J2" s="36">
        <v>10</v>
      </c>
      <c r="K2" s="48">
        <v>11</v>
      </c>
      <c r="L2" s="48">
        <v>12</v>
      </c>
      <c r="M2" s="48">
        <v>13</v>
      </c>
      <c r="N2" s="48">
        <v>14</v>
      </c>
      <c r="O2" s="48">
        <v>15</v>
      </c>
      <c r="P2" s="48">
        <v>16</v>
      </c>
      <c r="Q2" s="48">
        <v>17</v>
      </c>
      <c r="R2" s="35">
        <v>18</v>
      </c>
      <c r="S2" s="35">
        <v>19</v>
      </c>
      <c r="T2" s="35">
        <v>20</v>
      </c>
      <c r="U2" s="35">
        <v>21</v>
      </c>
    </row>
    <row r="3" spans="1:24" ht="22.15" customHeight="1" x14ac:dyDescent="0.3">
      <c r="A3" s="33" t="s">
        <v>28</v>
      </c>
      <c r="B3" s="52" t="s">
        <v>113</v>
      </c>
      <c r="C3" s="144" t="s">
        <v>35</v>
      </c>
      <c r="D3" s="107" t="s">
        <v>26</v>
      </c>
      <c r="E3" s="108" t="s">
        <v>25</v>
      </c>
      <c r="F3" s="108" t="s">
        <v>24</v>
      </c>
      <c r="G3" s="111" t="s">
        <v>43</v>
      </c>
      <c r="H3" s="139" t="s">
        <v>23</v>
      </c>
      <c r="I3" s="115" t="s">
        <v>22</v>
      </c>
      <c r="J3" s="126" t="s">
        <v>40</v>
      </c>
      <c r="K3" s="135" t="s">
        <v>67</v>
      </c>
      <c r="L3" s="136"/>
      <c r="M3" s="137"/>
      <c r="N3" s="141" t="s">
        <v>21</v>
      </c>
      <c r="O3" s="141"/>
      <c r="P3" s="141"/>
      <c r="Q3" s="140" t="s">
        <v>39</v>
      </c>
      <c r="R3" s="129" t="s">
        <v>49</v>
      </c>
      <c r="S3" s="130"/>
      <c r="T3" s="130"/>
      <c r="U3" s="131"/>
      <c r="V3" s="28">
        <v>0.02</v>
      </c>
    </row>
    <row r="4" spans="1:24" ht="22.15" customHeight="1" x14ac:dyDescent="0.25">
      <c r="A4" s="32" t="s">
        <v>19</v>
      </c>
      <c r="B4" s="53" t="s">
        <v>114</v>
      </c>
      <c r="C4" s="144"/>
      <c r="D4" s="107"/>
      <c r="E4" s="109"/>
      <c r="F4" s="109"/>
      <c r="G4" s="112"/>
      <c r="H4" s="139"/>
      <c r="I4" s="116"/>
      <c r="J4" s="109"/>
      <c r="K4" s="123" t="s">
        <v>18</v>
      </c>
      <c r="L4" s="142" t="s">
        <v>1</v>
      </c>
      <c r="M4" s="123" t="s">
        <v>16</v>
      </c>
      <c r="N4" s="125" t="s">
        <v>76</v>
      </c>
      <c r="O4" s="125"/>
      <c r="P4" s="125"/>
      <c r="Q4" s="140"/>
      <c r="R4" s="132"/>
      <c r="S4" s="133"/>
      <c r="T4" s="133"/>
      <c r="U4" s="134"/>
      <c r="V4" s="28">
        <v>0</v>
      </c>
    </row>
    <row r="5" spans="1:24" ht="22.15" customHeight="1" x14ac:dyDescent="0.25">
      <c r="A5" s="31" t="s">
        <v>11</v>
      </c>
      <c r="B5" s="30" t="s">
        <v>10</v>
      </c>
      <c r="C5" s="144"/>
      <c r="D5" s="29" t="s">
        <v>9</v>
      </c>
      <c r="E5" s="110"/>
      <c r="F5" s="110"/>
      <c r="G5" s="113"/>
      <c r="H5" s="139"/>
      <c r="I5" s="117"/>
      <c r="J5" s="110"/>
      <c r="K5" s="124"/>
      <c r="L5" s="143"/>
      <c r="M5" s="124"/>
      <c r="N5" s="49" t="s">
        <v>8</v>
      </c>
      <c r="O5" s="49" t="s">
        <v>7</v>
      </c>
      <c r="P5" s="49" t="s">
        <v>6</v>
      </c>
      <c r="Q5" s="140"/>
      <c r="R5" s="58" t="s">
        <v>45</v>
      </c>
      <c r="S5" s="50" t="s">
        <v>50</v>
      </c>
      <c r="T5" s="50" t="s">
        <v>47</v>
      </c>
      <c r="U5" s="50" t="s">
        <v>51</v>
      </c>
      <c r="V5" s="28">
        <v>-0.02</v>
      </c>
      <c r="X5" s="45"/>
    </row>
    <row r="6" spans="1:24" ht="14.45" customHeight="1" x14ac:dyDescent="0.25">
      <c r="A6" s="97">
        <v>440005</v>
      </c>
      <c r="B6" s="27" t="s">
        <v>84</v>
      </c>
      <c r="C6" s="103" t="s">
        <v>72</v>
      </c>
      <c r="D6" s="104">
        <v>13.493760583151976</v>
      </c>
      <c r="E6" s="7">
        <v>11960</v>
      </c>
      <c r="F6" s="25">
        <f t="shared" ref="F6:F34" si="0">E6*D6</f>
        <v>161385.37657449764</v>
      </c>
      <c r="G6" s="25">
        <f t="shared" ref="G6:G34" si="1">F6/F$35*G$35</f>
        <v>197252.63264279324</v>
      </c>
      <c r="H6" s="20">
        <v>123058.48100000528</v>
      </c>
      <c r="I6" s="26">
        <f>+VLOOKUP(A6,'Consuntivo 2023'!A:F,6,0)</f>
        <v>116555.17300000406</v>
      </c>
      <c r="J6" s="24">
        <f t="shared" ref="J6:J35" si="2">G6/AVERAGE(H6,I6)</f>
        <v>1.6464223081609994</v>
      </c>
      <c r="K6" s="97">
        <v>470120</v>
      </c>
      <c r="L6" s="7">
        <f>+VLOOKUP(K6,'[2]2.2 BV'!$A$26:$E$54,5,0)</f>
        <v>6104.5199999999995</v>
      </c>
      <c r="M6" s="27">
        <v>1</v>
      </c>
      <c r="N6" s="22">
        <f>+L6</f>
        <v>6104.5199999999995</v>
      </c>
      <c r="O6" s="22"/>
      <c r="P6" s="22"/>
      <c r="Q6" s="22">
        <f t="shared" ref="Q6:Q34" si="3">(N6*V$3)+(O6*V$4)+(P6*V$5)</f>
        <v>122.09039999999999</v>
      </c>
      <c r="R6" s="97">
        <v>440005</v>
      </c>
      <c r="S6" s="21">
        <f t="shared" ref="S6:S34" si="4">+VLOOKUP(R6,$K$6:$L$34,2,0)</f>
        <v>114444.3873300049</v>
      </c>
      <c r="T6" s="21">
        <f t="shared" ref="T6:T34" si="5">VLOOKUP(R6,$K$6:$Q$34,7,FALSE)</f>
        <v>-2288.8877466000981</v>
      </c>
      <c r="U6" s="51">
        <f>T6+S6</f>
        <v>112155.4995834048</v>
      </c>
    </row>
    <row r="7" spans="1:24" ht="14.45" customHeight="1" x14ac:dyDescent="0.25">
      <c r="A7" s="97">
        <v>440006</v>
      </c>
      <c r="B7" s="27" t="s">
        <v>85</v>
      </c>
      <c r="C7" s="103" t="s">
        <v>72</v>
      </c>
      <c r="D7" s="104">
        <v>21.897239963079997</v>
      </c>
      <c r="E7" s="7">
        <v>5290</v>
      </c>
      <c r="F7" s="25">
        <f t="shared" si="0"/>
        <v>115836.39940469319</v>
      </c>
      <c r="G7" s="25">
        <f t="shared" si="1"/>
        <v>141580.57702266722</v>
      </c>
      <c r="H7" s="20">
        <v>33830</v>
      </c>
      <c r="I7" s="26">
        <f>+VLOOKUP(A7,'Consuntivo 2023'!A:F,6,0)</f>
        <v>33375.57999999982</v>
      </c>
      <c r="J7" s="24">
        <f t="shared" si="2"/>
        <v>4.2133577903104955</v>
      </c>
      <c r="K7" s="97">
        <v>520307</v>
      </c>
      <c r="L7" s="7">
        <f>+VLOOKUP(K7,'[2]2.2 BV'!$A$26:$E$54,5,0)</f>
        <v>25266.872400000044</v>
      </c>
      <c r="M7" s="27">
        <v>2</v>
      </c>
      <c r="N7" s="22">
        <f t="shared" ref="N7:N20" si="6">+L7</f>
        <v>25266.872400000044</v>
      </c>
      <c r="O7" s="22"/>
      <c r="P7" s="22"/>
      <c r="Q7" s="22">
        <f t="shared" si="3"/>
        <v>505.3374480000009</v>
      </c>
      <c r="R7" s="97">
        <v>440006</v>
      </c>
      <c r="S7" s="21">
        <f t="shared" si="4"/>
        <v>31461.899999999998</v>
      </c>
      <c r="T7" s="21">
        <f t="shared" si="5"/>
        <v>629.23799999999994</v>
      </c>
      <c r="U7" s="51">
        <f t="shared" ref="U7:U34" si="7">T7+S7</f>
        <v>32091.137999999999</v>
      </c>
    </row>
    <row r="8" spans="1:24" ht="14.45" customHeight="1" x14ac:dyDescent="0.25">
      <c r="A8" s="97">
        <v>440076</v>
      </c>
      <c r="B8" s="27" t="s">
        <v>77</v>
      </c>
      <c r="C8" s="103" t="s">
        <v>72</v>
      </c>
      <c r="D8" s="104">
        <v>24.259997031483255</v>
      </c>
      <c r="E8" s="7">
        <v>4048</v>
      </c>
      <c r="F8" s="25">
        <f t="shared" si="0"/>
        <v>98204.467983444221</v>
      </c>
      <c r="G8" s="25">
        <f t="shared" si="1"/>
        <v>120030.01918874179</v>
      </c>
      <c r="H8" s="20">
        <v>10068</v>
      </c>
      <c r="I8" s="26">
        <f>+VLOOKUP(A8,'Consuntivo 2023'!A:F,6,0)</f>
        <v>7876.4099999999598</v>
      </c>
      <c r="J8" s="24">
        <f t="shared" si="2"/>
        <v>13.377984474133399</v>
      </c>
      <c r="K8" s="97">
        <v>440076</v>
      </c>
      <c r="L8" s="7">
        <f>+VLOOKUP(K8,'[2]2.2 BV'!$A$26:$E$54,5,0)</f>
        <v>9363.24</v>
      </c>
      <c r="M8" s="27">
        <v>3</v>
      </c>
      <c r="N8" s="22">
        <f t="shared" si="6"/>
        <v>9363.24</v>
      </c>
      <c r="O8" s="22"/>
      <c r="P8" s="22"/>
      <c r="Q8" s="22">
        <f t="shared" si="3"/>
        <v>187.26480000000001</v>
      </c>
      <c r="R8" s="97">
        <v>440076</v>
      </c>
      <c r="S8" s="21">
        <f t="shared" si="4"/>
        <v>9363.24</v>
      </c>
      <c r="T8" s="21">
        <f t="shared" si="5"/>
        <v>187.26480000000001</v>
      </c>
      <c r="U8" s="51">
        <f t="shared" si="7"/>
        <v>9550.5048000000006</v>
      </c>
    </row>
    <row r="9" spans="1:24" ht="14.45" customHeight="1" x14ac:dyDescent="0.25">
      <c r="A9" s="97">
        <v>450046</v>
      </c>
      <c r="B9" s="27" t="s">
        <v>78</v>
      </c>
      <c r="C9" s="103" t="s">
        <v>72</v>
      </c>
      <c r="D9" s="104">
        <v>16.843930935628745</v>
      </c>
      <c r="E9" s="7">
        <v>13248</v>
      </c>
      <c r="F9" s="25">
        <f t="shared" si="0"/>
        <v>223148.39703520961</v>
      </c>
      <c r="G9" s="25">
        <f t="shared" si="1"/>
        <v>272742.23798644927</v>
      </c>
      <c r="H9" s="20">
        <v>79201.010000000009</v>
      </c>
      <c r="I9" s="26">
        <f>+VLOOKUP(A9,'Consuntivo 2023'!A:F,6,0)</f>
        <v>44289.653343813494</v>
      </c>
      <c r="J9" s="24">
        <f t="shared" si="2"/>
        <v>4.4172122912175258</v>
      </c>
      <c r="K9" s="97">
        <v>450064</v>
      </c>
      <c r="L9" s="7">
        <f>+VLOOKUP(K9,'[2]2.2 BV'!$A$26:$E$54,5,0)</f>
        <v>14803.74</v>
      </c>
      <c r="M9" s="27">
        <v>4</v>
      </c>
      <c r="N9" s="22">
        <f t="shared" si="6"/>
        <v>14803.74</v>
      </c>
      <c r="O9" s="22"/>
      <c r="P9" s="22"/>
      <c r="Q9" s="22">
        <f t="shared" si="3"/>
        <v>296.07479999999998</v>
      </c>
      <c r="R9" s="97">
        <v>450046</v>
      </c>
      <c r="S9" s="21">
        <f t="shared" si="4"/>
        <v>73656.939299999998</v>
      </c>
      <c r="T9" s="21">
        <f t="shared" si="5"/>
        <v>1473.138786</v>
      </c>
      <c r="U9" s="51">
        <f t="shared" si="7"/>
        <v>75130.078085999994</v>
      </c>
    </row>
    <row r="10" spans="1:24" ht="14.45" customHeight="1" x14ac:dyDescent="0.25">
      <c r="A10" s="97">
        <v>450064</v>
      </c>
      <c r="B10" s="27" t="s">
        <v>86</v>
      </c>
      <c r="C10" s="103" t="s">
        <v>72</v>
      </c>
      <c r="D10" s="104">
        <v>21.759800413920313</v>
      </c>
      <c r="E10" s="7">
        <v>5290</v>
      </c>
      <c r="F10" s="25">
        <f t="shared" si="0"/>
        <v>115109.34418963846</v>
      </c>
      <c r="G10" s="25">
        <f t="shared" si="1"/>
        <v>140691.93668678141</v>
      </c>
      <c r="H10" s="20">
        <v>15918</v>
      </c>
      <c r="I10" s="26">
        <f>+VLOOKUP(A10,'Consuntivo 2023'!A:F,6,0)</f>
        <v>12269.265999999961</v>
      </c>
      <c r="J10" s="24">
        <f t="shared" si="2"/>
        <v>9.9826593105398445</v>
      </c>
      <c r="K10" s="97" t="s">
        <v>107</v>
      </c>
      <c r="L10" s="7">
        <f>+VLOOKUP(K10,'[2]2.2 BV'!$A$26:$E$54,5,0)</f>
        <v>93096.719999999987</v>
      </c>
      <c r="M10" s="27">
        <v>5</v>
      </c>
      <c r="N10" s="22">
        <f t="shared" si="6"/>
        <v>93096.719999999987</v>
      </c>
      <c r="O10" s="22"/>
      <c r="P10" s="22"/>
      <c r="Q10" s="22">
        <f t="shared" si="3"/>
        <v>1861.9343999999999</v>
      </c>
      <c r="R10" s="97">
        <v>450064</v>
      </c>
      <c r="S10" s="21">
        <f t="shared" si="4"/>
        <v>14803.74</v>
      </c>
      <c r="T10" s="21">
        <f t="shared" si="5"/>
        <v>296.07479999999998</v>
      </c>
      <c r="U10" s="51">
        <f t="shared" si="7"/>
        <v>15099.8148</v>
      </c>
    </row>
    <row r="11" spans="1:24" ht="14.45" customHeight="1" x14ac:dyDescent="0.25">
      <c r="A11" s="97">
        <v>450065</v>
      </c>
      <c r="B11" s="27" t="s">
        <v>87</v>
      </c>
      <c r="C11" s="103" t="s">
        <v>72</v>
      </c>
      <c r="D11" s="104"/>
      <c r="E11" s="7">
        <v>0</v>
      </c>
      <c r="F11" s="25">
        <f t="shared" si="0"/>
        <v>0</v>
      </c>
      <c r="G11" s="25">
        <f t="shared" si="1"/>
        <v>0</v>
      </c>
      <c r="H11" s="20">
        <v>0</v>
      </c>
      <c r="I11" s="26">
        <f>+VLOOKUP(A11,'Consuntivo 2023'!A:F,6,0)</f>
        <v>0</v>
      </c>
      <c r="J11" s="24">
        <v>0</v>
      </c>
      <c r="K11" s="97">
        <v>520313</v>
      </c>
      <c r="L11" s="7">
        <f>+VLOOKUP(K11,'[2]2.2 BV'!$A$26:$E$54,5,0)</f>
        <v>101515.07999999999</v>
      </c>
      <c r="M11" s="27">
        <v>6</v>
      </c>
      <c r="N11" s="22">
        <f t="shared" si="6"/>
        <v>101515.07999999999</v>
      </c>
      <c r="O11" s="22"/>
      <c r="P11" s="22"/>
      <c r="Q11" s="22">
        <f t="shared" si="3"/>
        <v>2030.3015999999998</v>
      </c>
      <c r="R11" s="97">
        <v>450065</v>
      </c>
      <c r="S11" s="21">
        <f t="shared" si="4"/>
        <v>0</v>
      </c>
      <c r="T11" s="21">
        <f t="shared" si="5"/>
        <v>0</v>
      </c>
      <c r="U11" s="51">
        <f t="shared" si="7"/>
        <v>0</v>
      </c>
    </row>
    <row r="12" spans="1:24" ht="14.45" customHeight="1" x14ac:dyDescent="0.25">
      <c r="A12" s="97">
        <v>460094</v>
      </c>
      <c r="B12" s="27" t="s">
        <v>88</v>
      </c>
      <c r="C12" s="103" t="s">
        <v>72</v>
      </c>
      <c r="D12" s="104">
        <v>22.219434993738222</v>
      </c>
      <c r="E12" s="7">
        <v>11040</v>
      </c>
      <c r="F12" s="25">
        <f t="shared" si="0"/>
        <v>245302.56233086996</v>
      </c>
      <c r="G12" s="25">
        <f t="shared" si="1"/>
        <v>299820.07813112542</v>
      </c>
      <c r="H12" s="20">
        <v>87602</v>
      </c>
      <c r="I12" s="26">
        <f>+VLOOKUP(A12,'Consuntivo 2023'!A:F,6,0)</f>
        <v>75341.187177677042</v>
      </c>
      <c r="J12" s="24">
        <f t="shared" si="2"/>
        <v>3.6800566298509261</v>
      </c>
      <c r="K12" s="102">
        <v>460136</v>
      </c>
      <c r="L12" s="7">
        <f>+VLOOKUP(K12,'[2]2.2 BV'!$A$26:$E$54,5,0)</f>
        <v>135551.22</v>
      </c>
      <c r="M12" s="27">
        <v>7</v>
      </c>
      <c r="N12" s="22">
        <f t="shared" si="6"/>
        <v>135551.22</v>
      </c>
      <c r="O12" s="22"/>
      <c r="P12" s="22"/>
      <c r="Q12" s="22">
        <f t="shared" si="3"/>
        <v>2711.0244000000002</v>
      </c>
      <c r="R12" s="97">
        <v>460094</v>
      </c>
      <c r="S12" s="21">
        <f t="shared" si="4"/>
        <v>81469.86</v>
      </c>
      <c r="T12" s="21">
        <f t="shared" si="5"/>
        <v>1629.3972000000001</v>
      </c>
      <c r="U12" s="51">
        <f t="shared" si="7"/>
        <v>83099.257200000007</v>
      </c>
    </row>
    <row r="13" spans="1:24" ht="14.45" customHeight="1" x14ac:dyDescent="0.25">
      <c r="A13" s="102">
        <v>460136</v>
      </c>
      <c r="B13" s="27" t="s">
        <v>89</v>
      </c>
      <c r="C13" s="103" t="s">
        <v>72</v>
      </c>
      <c r="D13" s="104">
        <v>82.63</v>
      </c>
      <c r="E13" s="7">
        <v>6875</v>
      </c>
      <c r="F13" s="25">
        <f t="shared" si="0"/>
        <v>568081.25</v>
      </c>
      <c r="G13" s="25">
        <f t="shared" si="1"/>
        <v>694335.04135229043</v>
      </c>
      <c r="H13" s="20">
        <v>145754</v>
      </c>
      <c r="I13" s="26">
        <f>+VLOOKUP(A13,'Consuntivo 2023'!A:F,6,0)</f>
        <v>93217.050000000032</v>
      </c>
      <c r="J13" s="24">
        <f t="shared" si="2"/>
        <v>5.8110389635254167</v>
      </c>
      <c r="K13" s="97">
        <v>510259</v>
      </c>
      <c r="L13" s="7">
        <f>+VLOOKUP(K13,'[2]2.2 BV'!$A$26:$E$54,5,0)</f>
        <v>106501.78650000079</v>
      </c>
      <c r="M13" s="27">
        <v>8</v>
      </c>
      <c r="N13" s="22">
        <f t="shared" si="6"/>
        <v>106501.78650000079</v>
      </c>
      <c r="O13" s="22"/>
      <c r="P13" s="22"/>
      <c r="Q13" s="22">
        <f t="shared" si="3"/>
        <v>2130.035730000016</v>
      </c>
      <c r="R13" s="102">
        <v>460136</v>
      </c>
      <c r="S13" s="21">
        <f t="shared" si="4"/>
        <v>135551.22</v>
      </c>
      <c r="T13" s="21">
        <f t="shared" si="5"/>
        <v>2711.0244000000002</v>
      </c>
      <c r="U13" s="51">
        <f t="shared" si="7"/>
        <v>138262.2444</v>
      </c>
    </row>
    <row r="14" spans="1:24" ht="14.45" customHeight="1" x14ac:dyDescent="0.25">
      <c r="A14" s="97">
        <v>470120</v>
      </c>
      <c r="B14" s="27" t="s">
        <v>90</v>
      </c>
      <c r="C14" s="103" t="s">
        <v>72</v>
      </c>
      <c r="D14" s="104">
        <v>17.112052787791495</v>
      </c>
      <c r="E14" s="7">
        <v>6072</v>
      </c>
      <c r="F14" s="25">
        <f t="shared" si="0"/>
        <v>103904.38452746996</v>
      </c>
      <c r="G14" s="25">
        <f t="shared" si="1"/>
        <v>126996.7194438562</v>
      </c>
      <c r="H14" s="20">
        <v>6564</v>
      </c>
      <c r="I14" s="26">
        <f>+VLOOKUP(A14,'Consuntivo 2023'!A:F,6,0)</f>
        <v>2996.6299999999942</v>
      </c>
      <c r="J14" s="24">
        <f t="shared" si="2"/>
        <v>26.566600620221948</v>
      </c>
      <c r="K14" s="97">
        <v>510260</v>
      </c>
      <c r="L14" s="7">
        <f>+VLOOKUP(K14,'[2]2.2 BV'!$A$26:$E$54,5,0)</f>
        <v>54996.114510000094</v>
      </c>
      <c r="M14" s="27">
        <v>9</v>
      </c>
      <c r="N14" s="22">
        <f t="shared" si="6"/>
        <v>54996.114510000094</v>
      </c>
      <c r="O14" s="22"/>
      <c r="P14" s="22"/>
      <c r="Q14" s="22">
        <f t="shared" si="3"/>
        <v>1099.922290200002</v>
      </c>
      <c r="R14" s="97">
        <v>470120</v>
      </c>
      <c r="S14" s="21">
        <f t="shared" si="4"/>
        <v>6104.5199999999995</v>
      </c>
      <c r="T14" s="21">
        <f t="shared" si="5"/>
        <v>122.09039999999999</v>
      </c>
      <c r="U14" s="51">
        <f t="shared" si="7"/>
        <v>6226.6103999999996</v>
      </c>
    </row>
    <row r="15" spans="1:24" x14ac:dyDescent="0.25">
      <c r="A15" s="97">
        <v>470131</v>
      </c>
      <c r="B15" s="27" t="s">
        <v>91</v>
      </c>
      <c r="C15" s="103" t="s">
        <v>72</v>
      </c>
      <c r="D15" s="104">
        <v>21.004055885124732</v>
      </c>
      <c r="E15" s="7">
        <v>11592</v>
      </c>
      <c r="F15" s="25">
        <f t="shared" si="0"/>
        <v>243479.01582036589</v>
      </c>
      <c r="G15" s="25">
        <f t="shared" si="1"/>
        <v>297591.2556840218</v>
      </c>
      <c r="H15" s="20">
        <v>230293</v>
      </c>
      <c r="I15" s="26">
        <f>+VLOOKUP(A15,'Consuntivo 2023'!A:F,6,0)</f>
        <v>113474.84400000643</v>
      </c>
      <c r="J15" s="24">
        <f t="shared" si="2"/>
        <v>1.7313501589986771</v>
      </c>
      <c r="K15" s="97">
        <v>450046</v>
      </c>
      <c r="L15" s="7">
        <f>+VLOOKUP(K15,'[2]2.2 BV'!$A$26:$E$54,5,0)</f>
        <v>73656.939299999998</v>
      </c>
      <c r="M15" s="27">
        <v>10</v>
      </c>
      <c r="N15" s="22">
        <f t="shared" si="6"/>
        <v>73656.939299999998</v>
      </c>
      <c r="O15" s="22"/>
      <c r="P15" s="22"/>
      <c r="Q15" s="22">
        <f t="shared" si="3"/>
        <v>1473.138786</v>
      </c>
      <c r="R15" s="97">
        <v>470131</v>
      </c>
      <c r="S15" s="21">
        <f t="shared" si="4"/>
        <v>214172.49</v>
      </c>
      <c r="T15" s="21">
        <f t="shared" si="5"/>
        <v>-4283.4498000000003</v>
      </c>
      <c r="U15" s="51">
        <f t="shared" si="7"/>
        <v>209889.04019999999</v>
      </c>
    </row>
    <row r="16" spans="1:24" ht="14.45" customHeight="1" x14ac:dyDescent="0.25">
      <c r="A16" s="97">
        <v>470134</v>
      </c>
      <c r="B16" s="27" t="s">
        <v>92</v>
      </c>
      <c r="C16" s="103" t="s">
        <v>72</v>
      </c>
      <c r="D16" s="104">
        <v>26.286927041636048</v>
      </c>
      <c r="E16" s="7">
        <v>20056</v>
      </c>
      <c r="F16" s="25">
        <f t="shared" si="0"/>
        <v>527210.60874705261</v>
      </c>
      <c r="G16" s="25">
        <f t="shared" si="1"/>
        <v>644381.06314149778</v>
      </c>
      <c r="H16" s="20">
        <v>321588.15899999707</v>
      </c>
      <c r="I16" s="26">
        <f>+VLOOKUP(A16,'Consuntivo 2023'!A:F,6,0)</f>
        <v>318960.70599999698</v>
      </c>
      <c r="J16" s="24">
        <f t="shared" si="2"/>
        <v>2.0119653576827545</v>
      </c>
      <c r="K16" s="97">
        <v>440006</v>
      </c>
      <c r="L16" s="7">
        <f>+VLOOKUP(K16,'[2]2.2 BV'!$A$26:$E$54,5,0)</f>
        <v>31461.899999999998</v>
      </c>
      <c r="M16" s="27">
        <v>11</v>
      </c>
      <c r="N16" s="22">
        <f t="shared" si="6"/>
        <v>31461.899999999998</v>
      </c>
      <c r="O16" s="22"/>
      <c r="P16" s="22"/>
      <c r="Q16" s="22">
        <f t="shared" si="3"/>
        <v>629.23799999999994</v>
      </c>
      <c r="R16" s="97">
        <v>470134</v>
      </c>
      <c r="S16" s="21">
        <f t="shared" si="4"/>
        <v>299076.98786999728</v>
      </c>
      <c r="T16" s="21">
        <f t="shared" si="5"/>
        <v>-5981.5397573999453</v>
      </c>
      <c r="U16" s="51">
        <f t="shared" si="7"/>
        <v>293095.44811259734</v>
      </c>
    </row>
    <row r="17" spans="1:21" ht="14.45" customHeight="1" x14ac:dyDescent="0.25">
      <c r="A17" s="97">
        <v>470135</v>
      </c>
      <c r="B17" s="27" t="s">
        <v>93</v>
      </c>
      <c r="C17" s="103" t="s">
        <v>72</v>
      </c>
      <c r="D17" s="104">
        <v>26.235191914217602</v>
      </c>
      <c r="E17" s="7">
        <v>11224</v>
      </c>
      <c r="F17" s="25">
        <f t="shared" si="0"/>
        <v>294463.79404517834</v>
      </c>
      <c r="G17" s="25">
        <f t="shared" si="1"/>
        <v>359907.1974565456</v>
      </c>
      <c r="H17" s="20">
        <v>143397.97000000128</v>
      </c>
      <c r="I17" s="26">
        <f>+VLOOKUP(A17,'Consuntivo 2023'!A:F,6,0)</f>
        <v>144162.85900000029</v>
      </c>
      <c r="J17" s="24">
        <f t="shared" si="2"/>
        <v>2.503172624088823</v>
      </c>
      <c r="K17" s="97">
        <v>490200</v>
      </c>
      <c r="L17" s="7">
        <f>+VLOOKUP(K17,'[2]2.2 BV'!$A$26:$E$54,5,0)</f>
        <v>210848.91831000318</v>
      </c>
      <c r="M17" s="27">
        <v>12</v>
      </c>
      <c r="N17" s="22">
        <f t="shared" si="6"/>
        <v>210848.91831000318</v>
      </c>
      <c r="O17" s="22"/>
      <c r="P17" s="22"/>
      <c r="Q17" s="22">
        <f t="shared" si="3"/>
        <v>4216.9783662000636</v>
      </c>
      <c r="R17" s="97">
        <v>470135</v>
      </c>
      <c r="S17" s="21">
        <f t="shared" si="4"/>
        <v>133360.11210000119</v>
      </c>
      <c r="T17" s="21">
        <f t="shared" si="5"/>
        <v>0</v>
      </c>
      <c r="U17" s="51">
        <f t="shared" si="7"/>
        <v>133360.11210000119</v>
      </c>
    </row>
    <row r="18" spans="1:21" ht="14.45" customHeight="1" x14ac:dyDescent="0.25">
      <c r="A18" s="97">
        <v>480203</v>
      </c>
      <c r="B18" s="27" t="s">
        <v>94</v>
      </c>
      <c r="C18" s="103" t="s">
        <v>72</v>
      </c>
      <c r="D18" s="104">
        <v>26.583886632334071</v>
      </c>
      <c r="E18" s="7">
        <v>48576</v>
      </c>
      <c r="F18" s="25">
        <f t="shared" si="0"/>
        <v>1291338.8770522599</v>
      </c>
      <c r="G18" s="25">
        <f t="shared" si="1"/>
        <v>1578333.7904532163</v>
      </c>
      <c r="H18" s="20">
        <v>403513</v>
      </c>
      <c r="I18" s="26">
        <f>+VLOOKUP(A18,'Consuntivo 2023'!A:F,6,0)</f>
        <v>507204.12499998155</v>
      </c>
      <c r="J18" s="24">
        <f t="shared" si="2"/>
        <v>3.4661339885384237</v>
      </c>
      <c r="K18" s="97">
        <v>460094</v>
      </c>
      <c r="L18" s="7">
        <f>+VLOOKUP(K18,'[2]2.2 BV'!$A$26:$E$54,5,0)</f>
        <v>81469.86</v>
      </c>
      <c r="M18" s="27">
        <v>13</v>
      </c>
      <c r="N18" s="22">
        <f t="shared" si="6"/>
        <v>81469.86</v>
      </c>
      <c r="O18" s="22"/>
      <c r="P18" s="22"/>
      <c r="Q18" s="22">
        <f t="shared" si="3"/>
        <v>1629.3972000000001</v>
      </c>
      <c r="R18" s="97">
        <v>480203</v>
      </c>
      <c r="S18" s="21">
        <f t="shared" si="4"/>
        <v>375267.08999999997</v>
      </c>
      <c r="T18" s="21">
        <f t="shared" si="5"/>
        <v>7505.3417999999992</v>
      </c>
      <c r="U18" s="51">
        <f t="shared" si="7"/>
        <v>382772.43179999996</v>
      </c>
    </row>
    <row r="19" spans="1:21" ht="14.45" customHeight="1" x14ac:dyDescent="0.25">
      <c r="A19" s="97">
        <v>480212</v>
      </c>
      <c r="B19" s="27" t="s">
        <v>79</v>
      </c>
      <c r="C19" s="103" t="s">
        <v>72</v>
      </c>
      <c r="D19" s="104">
        <v>13.561492223280625</v>
      </c>
      <c r="E19" s="7">
        <v>5704</v>
      </c>
      <c r="F19" s="25">
        <f t="shared" si="0"/>
        <v>77354.75164159268</v>
      </c>
      <c r="G19" s="25">
        <f t="shared" si="1"/>
        <v>94546.536573529593</v>
      </c>
      <c r="H19" s="20">
        <v>49521</v>
      </c>
      <c r="I19" s="26">
        <f>+VLOOKUP(A19,'Consuntivo 2023'!A:F,6,0)</f>
        <v>26073.467000001692</v>
      </c>
      <c r="J19" s="24">
        <f t="shared" si="2"/>
        <v>2.5014141993626988</v>
      </c>
      <c r="K19" s="97">
        <v>480203</v>
      </c>
      <c r="L19" s="7">
        <f>+VLOOKUP(K19,'[2]2.2 BV'!$A$26:$E$54,5,0)</f>
        <v>375267.08999999997</v>
      </c>
      <c r="M19" s="27">
        <v>14</v>
      </c>
      <c r="N19" s="22">
        <f t="shared" si="6"/>
        <v>375267.08999999997</v>
      </c>
      <c r="O19" s="22"/>
      <c r="P19" s="22"/>
      <c r="Q19" s="22">
        <f t="shared" si="3"/>
        <v>7505.3417999999992</v>
      </c>
      <c r="R19" s="97">
        <v>480212</v>
      </c>
      <c r="S19" s="21">
        <f t="shared" si="4"/>
        <v>46054.53</v>
      </c>
      <c r="T19" s="21">
        <f t="shared" si="5"/>
        <v>0</v>
      </c>
      <c r="U19" s="51">
        <f t="shared" si="7"/>
        <v>46054.53</v>
      </c>
    </row>
    <row r="20" spans="1:21" ht="14.45" customHeight="1" x14ac:dyDescent="0.25">
      <c r="A20" s="97">
        <v>490199</v>
      </c>
      <c r="B20" s="27" t="s">
        <v>95</v>
      </c>
      <c r="C20" s="103" t="s">
        <v>72</v>
      </c>
      <c r="D20" s="104">
        <v>25.962429189419403</v>
      </c>
      <c r="E20" s="7">
        <v>42600</v>
      </c>
      <c r="F20" s="25">
        <f t="shared" si="0"/>
        <v>1105999.4834692667</v>
      </c>
      <c r="G20" s="25">
        <f t="shared" si="1"/>
        <v>1351803.4560905595</v>
      </c>
      <c r="H20" s="20">
        <v>694991.66399997915</v>
      </c>
      <c r="I20" s="26">
        <f>+VLOOKUP(A20,'Consuntivo 2023'!A:F,6,0)</f>
        <v>689391.90699997568</v>
      </c>
      <c r="J20" s="24">
        <f t="shared" si="2"/>
        <v>1.9529319538430201</v>
      </c>
      <c r="K20" s="97" t="s">
        <v>82</v>
      </c>
      <c r="L20" s="7">
        <f>+VLOOKUP(K20,'[2]2.2 BV'!$A$26:$E$54,5,0)</f>
        <v>247563.48342000652</v>
      </c>
      <c r="M20" s="27">
        <v>15</v>
      </c>
      <c r="N20" s="22">
        <f t="shared" si="6"/>
        <v>247563.48342000652</v>
      </c>
      <c r="O20" s="22"/>
      <c r="P20" s="22"/>
      <c r="Q20" s="22">
        <f t="shared" si="3"/>
        <v>4951.2696684001303</v>
      </c>
      <c r="R20" s="97">
        <v>490199</v>
      </c>
      <c r="S20" s="21">
        <f t="shared" si="4"/>
        <v>646342.24751998053</v>
      </c>
      <c r="T20" s="21">
        <f t="shared" si="5"/>
        <v>-12926.844950399611</v>
      </c>
      <c r="U20" s="51">
        <f t="shared" si="7"/>
        <v>633415.40256958094</v>
      </c>
    </row>
    <row r="21" spans="1:21" ht="14.45" customHeight="1" x14ac:dyDescent="0.25">
      <c r="A21" s="97">
        <v>490200</v>
      </c>
      <c r="B21" s="27" t="s">
        <v>96</v>
      </c>
      <c r="C21" s="103" t="s">
        <v>72</v>
      </c>
      <c r="D21" s="104">
        <v>25.683125122493426</v>
      </c>
      <c r="E21" s="7">
        <v>27400</v>
      </c>
      <c r="F21" s="25">
        <f t="shared" si="0"/>
        <v>703717.62835631985</v>
      </c>
      <c r="G21" s="25">
        <f t="shared" si="1"/>
        <v>860116.06365307979</v>
      </c>
      <c r="H21" s="20">
        <v>226719.26700000343</v>
      </c>
      <c r="I21" s="26">
        <f>+VLOOKUP(A21,'Consuntivo 2023'!A:F,6,0)</f>
        <v>227839.25500000399</v>
      </c>
      <c r="J21" s="24">
        <f t="shared" si="2"/>
        <v>3.7844018845743506</v>
      </c>
      <c r="K21" s="97">
        <v>530433</v>
      </c>
      <c r="L21" s="7">
        <f>+VLOOKUP(K21,'[2]2.2 BV'!$A$26:$E$54,5,0)</f>
        <v>100000</v>
      </c>
      <c r="M21" s="27">
        <v>16</v>
      </c>
      <c r="N21" s="22">
        <v>57086.7</v>
      </c>
      <c r="O21" s="22">
        <f>+L21-N21</f>
        <v>42913.3</v>
      </c>
      <c r="P21" s="22"/>
      <c r="Q21" s="22">
        <f t="shared" si="3"/>
        <v>1141.7339999999999</v>
      </c>
      <c r="R21" s="97">
        <v>490200</v>
      </c>
      <c r="S21" s="21">
        <f t="shared" si="4"/>
        <v>210848.91831000318</v>
      </c>
      <c r="T21" s="21">
        <f t="shared" si="5"/>
        <v>4216.9783662000636</v>
      </c>
      <c r="U21" s="51">
        <f t="shared" si="7"/>
        <v>215065.89667620324</v>
      </c>
    </row>
    <row r="22" spans="1:21" ht="14.45" customHeight="1" x14ac:dyDescent="0.25">
      <c r="A22" s="97">
        <v>500267</v>
      </c>
      <c r="B22" s="27" t="s">
        <v>97</v>
      </c>
      <c r="C22" s="103" t="s">
        <v>72</v>
      </c>
      <c r="D22" s="104">
        <v>13.528311934491919</v>
      </c>
      <c r="E22" s="7">
        <v>14400</v>
      </c>
      <c r="F22" s="25">
        <f t="shared" si="0"/>
        <v>194807.69185668364</v>
      </c>
      <c r="G22" s="25">
        <f t="shared" si="1"/>
        <v>238102.92415223119</v>
      </c>
      <c r="H22" s="20">
        <v>125986</v>
      </c>
      <c r="I22" s="26">
        <f>+VLOOKUP(A22,'Consuntivo 2023'!A:F,6,0)</f>
        <v>127512.31600000101</v>
      </c>
      <c r="J22" s="24">
        <f t="shared" si="2"/>
        <v>1.8785365355423524</v>
      </c>
      <c r="K22" s="97">
        <v>530434</v>
      </c>
      <c r="L22" s="7">
        <f>+VLOOKUP(K22,'[2]2.2 BV'!$A$26:$E$54,5,0)</f>
        <v>575016.21</v>
      </c>
      <c r="M22" s="27">
        <v>17</v>
      </c>
      <c r="N22" s="22"/>
      <c r="O22" s="22">
        <f>+L22</f>
        <v>575016.21</v>
      </c>
      <c r="P22" s="22"/>
      <c r="Q22" s="22">
        <f t="shared" si="3"/>
        <v>0</v>
      </c>
      <c r="R22" s="97">
        <v>500267</v>
      </c>
      <c r="S22" s="21">
        <f t="shared" si="4"/>
        <v>117166.98</v>
      </c>
      <c r="T22" s="21">
        <f t="shared" si="5"/>
        <v>-2343.3395999999998</v>
      </c>
      <c r="U22" s="51">
        <f t="shared" si="7"/>
        <v>114823.64039999999</v>
      </c>
    </row>
    <row r="23" spans="1:21" ht="14.45" customHeight="1" x14ac:dyDescent="0.25">
      <c r="A23" s="97">
        <v>510259</v>
      </c>
      <c r="B23" s="27" t="s">
        <v>98</v>
      </c>
      <c r="C23" s="103" t="s">
        <v>72</v>
      </c>
      <c r="D23" s="104">
        <v>25.179454400452101</v>
      </c>
      <c r="E23" s="7">
        <v>18216</v>
      </c>
      <c r="F23" s="25">
        <f t="shared" si="0"/>
        <v>458668.94135863549</v>
      </c>
      <c r="G23" s="25">
        <f t="shared" si="1"/>
        <v>560606.28363505995</v>
      </c>
      <c r="H23" s="20">
        <v>114518.05000000086</v>
      </c>
      <c r="I23" s="26">
        <f>+VLOOKUP(A23,'Consuntivo 2023'!A:F,6,0)</f>
        <v>119140.61600000141</v>
      </c>
      <c r="J23" s="24">
        <f t="shared" si="2"/>
        <v>4.7985062418789513</v>
      </c>
      <c r="K23" s="97">
        <v>530432</v>
      </c>
      <c r="L23" s="7">
        <f>+VLOOKUP(K23,'[2]2.2 BV'!$A$26:$E$54,5,0)</f>
        <v>560526.1720199897</v>
      </c>
      <c r="M23" s="27">
        <v>18</v>
      </c>
      <c r="N23" s="22"/>
      <c r="O23" s="22">
        <f>+L23</f>
        <v>560526.1720199897</v>
      </c>
      <c r="P23" s="22"/>
      <c r="Q23" s="22">
        <f t="shared" si="3"/>
        <v>0</v>
      </c>
      <c r="R23" s="97">
        <v>510259</v>
      </c>
      <c r="S23" s="21">
        <f t="shared" si="4"/>
        <v>106501.78650000079</v>
      </c>
      <c r="T23" s="21">
        <f t="shared" si="5"/>
        <v>2130.035730000016</v>
      </c>
      <c r="U23" s="51">
        <f t="shared" si="7"/>
        <v>108631.82223000081</v>
      </c>
    </row>
    <row r="24" spans="1:21" ht="14.45" customHeight="1" x14ac:dyDescent="0.25">
      <c r="A24" s="97">
        <v>510260</v>
      </c>
      <c r="B24" s="27" t="s">
        <v>99</v>
      </c>
      <c r="C24" s="103" t="s">
        <v>72</v>
      </c>
      <c r="D24" s="104">
        <v>25.866720238513338</v>
      </c>
      <c r="E24" s="7">
        <v>7912</v>
      </c>
      <c r="F24" s="25">
        <f t="shared" si="0"/>
        <v>204657.49052711754</v>
      </c>
      <c r="G24" s="25">
        <f t="shared" si="1"/>
        <v>250141.80127966229</v>
      </c>
      <c r="H24" s="20">
        <v>59135.607000000105</v>
      </c>
      <c r="I24" s="26">
        <f>+VLOOKUP(A24,'Consuntivo 2023'!A:F,6,0)</f>
        <v>51253.092625286874</v>
      </c>
      <c r="J24" s="24">
        <f t="shared" si="2"/>
        <v>4.5320182614482363</v>
      </c>
      <c r="K24" s="97">
        <v>470135</v>
      </c>
      <c r="L24" s="7">
        <f>+VLOOKUP(K24,'[2]2.2 BV'!$A$26:$E$54,5,0)</f>
        <v>133360.11210000119</v>
      </c>
      <c r="M24" s="27">
        <v>19</v>
      </c>
      <c r="N24" s="22"/>
      <c r="O24" s="22">
        <f>+L24</f>
        <v>133360.11210000119</v>
      </c>
      <c r="P24" s="22"/>
      <c r="Q24" s="22">
        <f t="shared" si="3"/>
        <v>0</v>
      </c>
      <c r="R24" s="97">
        <v>510260</v>
      </c>
      <c r="S24" s="21">
        <f t="shared" si="4"/>
        <v>54996.114510000094</v>
      </c>
      <c r="T24" s="21">
        <f t="shared" si="5"/>
        <v>1099.922290200002</v>
      </c>
      <c r="U24" s="51">
        <f t="shared" si="7"/>
        <v>56096.036800200098</v>
      </c>
    </row>
    <row r="25" spans="1:21" ht="14.45" customHeight="1" x14ac:dyDescent="0.25">
      <c r="A25" s="97">
        <v>520307</v>
      </c>
      <c r="B25" s="27" t="s">
        <v>80</v>
      </c>
      <c r="C25" s="103" t="s">
        <v>72</v>
      </c>
      <c r="D25" s="104">
        <v>59.255737704918019</v>
      </c>
      <c r="E25" s="7">
        <v>5600</v>
      </c>
      <c r="F25" s="25">
        <f t="shared" si="0"/>
        <v>331832.13114754093</v>
      </c>
      <c r="G25" s="25">
        <f t="shared" si="1"/>
        <v>405580.49839234527</v>
      </c>
      <c r="H25" s="20">
        <v>27168.680000000048</v>
      </c>
      <c r="I25" s="26">
        <f>+VLOOKUP(A25,'Consuntivo 2023'!A:F,6,0)</f>
        <v>25331.900000000056</v>
      </c>
      <c r="J25" s="24">
        <f t="shared" si="2"/>
        <v>15.450514961638309</v>
      </c>
      <c r="K25" s="97">
        <v>480212</v>
      </c>
      <c r="L25" s="7">
        <f>+VLOOKUP(K25,'[2]2.2 BV'!$A$26:$E$54,5,0)</f>
        <v>46054.53</v>
      </c>
      <c r="M25" s="27">
        <v>20</v>
      </c>
      <c r="N25" s="22"/>
      <c r="O25" s="22">
        <f t="shared" ref="O25:O26" si="8">+L25</f>
        <v>46054.53</v>
      </c>
      <c r="P25" s="22"/>
      <c r="Q25" s="22">
        <f t="shared" si="3"/>
        <v>0</v>
      </c>
      <c r="R25" s="97">
        <v>520307</v>
      </c>
      <c r="S25" s="21">
        <f t="shared" si="4"/>
        <v>25266.872400000044</v>
      </c>
      <c r="T25" s="21">
        <f t="shared" si="5"/>
        <v>505.3374480000009</v>
      </c>
      <c r="U25" s="51">
        <f t="shared" si="7"/>
        <v>25772.209848000046</v>
      </c>
    </row>
    <row r="26" spans="1:21" ht="14.45" customHeight="1" x14ac:dyDescent="0.25">
      <c r="A26" s="97">
        <v>520313</v>
      </c>
      <c r="B26" s="27" t="s">
        <v>100</v>
      </c>
      <c r="C26" s="103" t="s">
        <v>72</v>
      </c>
      <c r="D26" s="104">
        <v>25.903012365766504</v>
      </c>
      <c r="E26" s="7">
        <v>22700</v>
      </c>
      <c r="F26" s="25">
        <f t="shared" si="0"/>
        <v>587998.38070289965</v>
      </c>
      <c r="G26" s="25">
        <f t="shared" si="1"/>
        <v>718678.67489100841</v>
      </c>
      <c r="H26" s="20">
        <v>109156</v>
      </c>
      <c r="I26" s="26">
        <f>+VLOOKUP(A26,'Consuntivo 2023'!A:F,6,0)</f>
        <v>105808.48000000115</v>
      </c>
      <c r="J26" s="24">
        <f t="shared" si="2"/>
        <v>6.6864876922085417</v>
      </c>
      <c r="K26" s="97">
        <v>530337</v>
      </c>
      <c r="L26" s="7">
        <f>+VLOOKUP(K26,'[2]2.2 BV'!$A$26:$E$54,5,0)</f>
        <v>107649.35999999999</v>
      </c>
      <c r="M26" s="27">
        <v>21</v>
      </c>
      <c r="N26" s="22"/>
      <c r="O26" s="22">
        <f t="shared" si="8"/>
        <v>107649.35999999999</v>
      </c>
      <c r="P26" s="22"/>
      <c r="Q26" s="22">
        <f t="shared" si="3"/>
        <v>0</v>
      </c>
      <c r="R26" s="97">
        <v>520313</v>
      </c>
      <c r="S26" s="21">
        <f t="shared" si="4"/>
        <v>101515.07999999999</v>
      </c>
      <c r="T26" s="21">
        <f t="shared" si="5"/>
        <v>2030.3015999999998</v>
      </c>
      <c r="U26" s="51">
        <f t="shared" si="7"/>
        <v>103545.38159999999</v>
      </c>
    </row>
    <row r="27" spans="1:21" ht="14.45" customHeight="1" x14ac:dyDescent="0.25">
      <c r="A27" s="97">
        <v>530337</v>
      </c>
      <c r="B27" s="27" t="s">
        <v>81</v>
      </c>
      <c r="C27" s="103" t="s">
        <v>72</v>
      </c>
      <c r="D27" s="104">
        <v>21.255949755208281</v>
      </c>
      <c r="E27" s="7">
        <v>10450</v>
      </c>
      <c r="F27" s="25">
        <f t="shared" si="0"/>
        <v>222124.67494192653</v>
      </c>
      <c r="G27" s="25">
        <f t="shared" si="1"/>
        <v>271490.99774225365</v>
      </c>
      <c r="H27" s="20">
        <v>115752</v>
      </c>
      <c r="I27" s="26">
        <f>+VLOOKUP(A27,'Consuntivo 2023'!A:F,6,0)</f>
        <v>110775.02619760539</v>
      </c>
      <c r="J27" s="24">
        <f t="shared" si="2"/>
        <v>2.3969854926310208</v>
      </c>
      <c r="K27" s="97" t="s">
        <v>105</v>
      </c>
      <c r="L27" s="7">
        <f>+VLOOKUP(K27,'[2]2.2 BV'!$A$26:$E$54,5,0)</f>
        <v>288067.5</v>
      </c>
      <c r="M27" s="27">
        <v>22</v>
      </c>
      <c r="N27" s="22"/>
      <c r="O27" s="22">
        <v>159034.5</v>
      </c>
      <c r="P27" s="22">
        <f>+L27-O27</f>
        <v>129033</v>
      </c>
      <c r="Q27" s="22">
        <f t="shared" si="3"/>
        <v>-2580.66</v>
      </c>
      <c r="R27" s="97">
        <v>530337</v>
      </c>
      <c r="S27" s="21">
        <f t="shared" si="4"/>
        <v>107649.35999999999</v>
      </c>
      <c r="T27" s="21">
        <f t="shared" si="5"/>
        <v>0</v>
      </c>
      <c r="U27" s="51">
        <f t="shared" si="7"/>
        <v>107649.35999999999</v>
      </c>
    </row>
    <row r="28" spans="1:21" ht="14.45" customHeight="1" x14ac:dyDescent="0.25">
      <c r="A28" s="97">
        <v>530432</v>
      </c>
      <c r="B28" s="27" t="s">
        <v>101</v>
      </c>
      <c r="C28" s="103" t="s">
        <v>72</v>
      </c>
      <c r="D28" s="104">
        <v>25.889626018071215</v>
      </c>
      <c r="E28" s="7">
        <v>51000</v>
      </c>
      <c r="F28" s="25">
        <f t="shared" si="0"/>
        <v>1320370.9269216319</v>
      </c>
      <c r="G28" s="25">
        <f t="shared" si="1"/>
        <v>1613818.0975775796</v>
      </c>
      <c r="H28" s="20">
        <v>602716.31399998895</v>
      </c>
      <c r="I28" s="26">
        <f>+VLOOKUP(A28,'Consuntivo 2023'!A:F,6,0)</f>
        <v>641489.06599999219</v>
      </c>
      <c r="J28" s="24">
        <f t="shared" si="2"/>
        <v>2.5941345753988041</v>
      </c>
      <c r="K28" s="97">
        <v>470134</v>
      </c>
      <c r="L28" s="7">
        <f>+VLOOKUP(K28,'[2]2.2 BV'!$A$26:$E$54,5,0)</f>
        <v>299076.98786999728</v>
      </c>
      <c r="M28" s="27">
        <v>23</v>
      </c>
      <c r="N28" s="22"/>
      <c r="O28" s="22"/>
      <c r="P28" s="22">
        <f t="shared" ref="P28:P34" si="9">+L28-O28</f>
        <v>299076.98786999728</v>
      </c>
      <c r="Q28" s="22">
        <f t="shared" si="3"/>
        <v>-5981.5397573999453</v>
      </c>
      <c r="R28" s="97">
        <v>530432</v>
      </c>
      <c r="S28" s="21">
        <f t="shared" si="4"/>
        <v>560526.1720199897</v>
      </c>
      <c r="T28" s="21">
        <f t="shared" si="5"/>
        <v>0</v>
      </c>
      <c r="U28" s="51">
        <f t="shared" si="7"/>
        <v>560526.1720199897</v>
      </c>
    </row>
    <row r="29" spans="1:21" ht="14.45" customHeight="1" x14ac:dyDescent="0.25">
      <c r="A29" s="97">
        <v>530433</v>
      </c>
      <c r="B29" s="27" t="s">
        <v>102</v>
      </c>
      <c r="C29" s="103" t="s">
        <v>72</v>
      </c>
      <c r="D29" s="104">
        <v>13.867728694045132</v>
      </c>
      <c r="E29" s="7">
        <v>12500</v>
      </c>
      <c r="F29" s="25">
        <f t="shared" si="0"/>
        <v>173346.60867556414</v>
      </c>
      <c r="G29" s="25">
        <f t="shared" si="1"/>
        <v>211872.20085687941</v>
      </c>
      <c r="H29" s="20">
        <v>75721</v>
      </c>
      <c r="I29" s="26">
        <f>+VLOOKUP(A29,'Consuntivo 2023'!A:F,6,0)</f>
        <v>61670.975000000624</v>
      </c>
      <c r="J29" s="24">
        <f t="shared" si="2"/>
        <v>3.0842005270959745</v>
      </c>
      <c r="K29" s="97">
        <v>490199</v>
      </c>
      <c r="L29" s="7">
        <f>+VLOOKUP(K29,'[2]2.2 BV'!$A$26:$E$54,5,0)</f>
        <v>646342.24751998053</v>
      </c>
      <c r="M29" s="27">
        <v>24</v>
      </c>
      <c r="N29" s="22"/>
      <c r="O29" s="22"/>
      <c r="P29" s="22">
        <f t="shared" si="9"/>
        <v>646342.24751998053</v>
      </c>
      <c r="Q29" s="22">
        <f t="shared" si="3"/>
        <v>-12926.844950399611</v>
      </c>
      <c r="R29" s="97">
        <v>530433</v>
      </c>
      <c r="S29" s="21">
        <f t="shared" si="4"/>
        <v>100000</v>
      </c>
      <c r="T29" s="21">
        <f t="shared" si="5"/>
        <v>1141.7339999999999</v>
      </c>
      <c r="U29" s="51">
        <f t="shared" si="7"/>
        <v>101141.734</v>
      </c>
    </row>
    <row r="30" spans="1:21" ht="14.45" customHeight="1" x14ac:dyDescent="0.25">
      <c r="A30" s="97">
        <v>530434</v>
      </c>
      <c r="B30" s="27" t="s">
        <v>103</v>
      </c>
      <c r="C30" s="103" t="s">
        <v>72</v>
      </c>
      <c r="D30" s="104">
        <v>25.855131086746685</v>
      </c>
      <c r="E30" s="7">
        <v>48800</v>
      </c>
      <c r="F30" s="25">
        <f t="shared" si="0"/>
        <v>1261730.3970332383</v>
      </c>
      <c r="G30" s="25">
        <f t="shared" si="1"/>
        <v>1542144.9438782136</v>
      </c>
      <c r="H30" s="20">
        <v>618297</v>
      </c>
      <c r="I30" s="26">
        <f>+VLOOKUP(A30,'Consuntivo 2023'!A:F,6,0)</f>
        <v>492931.43799998064</v>
      </c>
      <c r="J30" s="24">
        <f t="shared" si="2"/>
        <v>2.7755678151178502</v>
      </c>
      <c r="K30" s="97">
        <v>500267</v>
      </c>
      <c r="L30" s="7">
        <f>+VLOOKUP(K30,'[2]2.2 BV'!$A$26:$E$54,5,0)</f>
        <v>117166.98</v>
      </c>
      <c r="M30" s="27">
        <v>25</v>
      </c>
      <c r="N30" s="22"/>
      <c r="O30" s="22"/>
      <c r="P30" s="22">
        <f t="shared" si="9"/>
        <v>117166.98</v>
      </c>
      <c r="Q30" s="22">
        <f t="shared" si="3"/>
        <v>-2343.3395999999998</v>
      </c>
      <c r="R30" s="97">
        <v>530434</v>
      </c>
      <c r="S30" s="21">
        <f t="shared" si="4"/>
        <v>575016.21</v>
      </c>
      <c r="T30" s="21">
        <f t="shared" si="5"/>
        <v>0</v>
      </c>
      <c r="U30" s="51">
        <f t="shared" si="7"/>
        <v>575016.21</v>
      </c>
    </row>
    <row r="31" spans="1:21" ht="14.45" customHeight="1" x14ac:dyDescent="0.25">
      <c r="A31" s="97">
        <v>530443</v>
      </c>
      <c r="B31" s="27" t="s">
        <v>104</v>
      </c>
      <c r="C31" s="103" t="s">
        <v>72</v>
      </c>
      <c r="D31" s="104">
        <v>25.734116133996068</v>
      </c>
      <c r="E31" s="7">
        <v>5600</v>
      </c>
      <c r="F31" s="25">
        <f t="shared" si="0"/>
        <v>144111.05035037798</v>
      </c>
      <c r="G31" s="25">
        <f t="shared" si="1"/>
        <v>176139.15633433015</v>
      </c>
      <c r="H31" s="20">
        <v>112169.98700000119</v>
      </c>
      <c r="I31" s="26">
        <f>+VLOOKUP(A31,'Consuntivo 2023'!A:F,6,0)</f>
        <v>103248.73400000195</v>
      </c>
      <c r="J31" s="24">
        <f t="shared" si="2"/>
        <v>1.6353189315828087</v>
      </c>
      <c r="K31" s="97">
        <v>470131</v>
      </c>
      <c r="L31" s="7">
        <f>+VLOOKUP(K31,'[2]2.2 BV'!$A$26:$E$54,5,0)</f>
        <v>214172.49</v>
      </c>
      <c r="M31" s="27">
        <v>26</v>
      </c>
      <c r="N31" s="22"/>
      <c r="O31" s="22"/>
      <c r="P31" s="22">
        <f t="shared" si="9"/>
        <v>214172.49</v>
      </c>
      <c r="Q31" s="22">
        <f t="shared" si="3"/>
        <v>-4283.4498000000003</v>
      </c>
      <c r="R31" s="97">
        <v>530443</v>
      </c>
      <c r="S31" s="21">
        <f t="shared" si="4"/>
        <v>104318.08791000109</v>
      </c>
      <c r="T31" s="21">
        <f t="shared" si="5"/>
        <v>-2086.361758200022</v>
      </c>
      <c r="U31" s="51">
        <f t="shared" si="7"/>
        <v>102231.72615180108</v>
      </c>
    </row>
    <row r="32" spans="1:21" ht="14.45" customHeight="1" x14ac:dyDescent="0.25">
      <c r="A32" s="97" t="s">
        <v>82</v>
      </c>
      <c r="B32" s="27" t="s">
        <v>83</v>
      </c>
      <c r="C32" s="103" t="s">
        <v>72</v>
      </c>
      <c r="D32" s="104">
        <v>21.460066942909066</v>
      </c>
      <c r="E32" s="7">
        <v>35000</v>
      </c>
      <c r="F32" s="25">
        <f t="shared" si="0"/>
        <v>751102.34300181735</v>
      </c>
      <c r="G32" s="25">
        <f t="shared" si="1"/>
        <v>918031.84207887354</v>
      </c>
      <c r="H32" s="20">
        <v>266197.29400000704</v>
      </c>
      <c r="I32" s="26">
        <f>+VLOOKUP(A32,'Consuntivo 2023'!A:F,6,0)</f>
        <v>271800.43500001205</v>
      </c>
      <c r="J32" s="24">
        <f t="shared" si="2"/>
        <v>3.4127721832031779</v>
      </c>
      <c r="K32" s="97">
        <v>440005</v>
      </c>
      <c r="L32" s="7">
        <f>+VLOOKUP(K32,'[2]2.2 BV'!$A$26:$E$54,5,0)</f>
        <v>114444.3873300049</v>
      </c>
      <c r="M32" s="27">
        <v>27</v>
      </c>
      <c r="N32" s="22"/>
      <c r="O32" s="22"/>
      <c r="P32" s="22">
        <f t="shared" si="9"/>
        <v>114444.3873300049</v>
      </c>
      <c r="Q32" s="22">
        <f t="shared" si="3"/>
        <v>-2288.8877466000981</v>
      </c>
      <c r="R32" s="97" t="s">
        <v>82</v>
      </c>
      <c r="S32" s="21">
        <f t="shared" si="4"/>
        <v>247563.48342000652</v>
      </c>
      <c r="T32" s="21">
        <f t="shared" si="5"/>
        <v>4951.2696684001303</v>
      </c>
      <c r="U32" s="51">
        <f t="shared" si="7"/>
        <v>252514.75308840667</v>
      </c>
    </row>
    <row r="33" spans="1:21" ht="14.45" customHeight="1" x14ac:dyDescent="0.25">
      <c r="A33" s="97" t="s">
        <v>105</v>
      </c>
      <c r="B33" s="27" t="s">
        <v>106</v>
      </c>
      <c r="C33" s="103" t="s">
        <v>72</v>
      </c>
      <c r="D33" s="104">
        <v>26.107642286229485</v>
      </c>
      <c r="E33" s="7">
        <v>21400</v>
      </c>
      <c r="F33" s="25">
        <f t="shared" si="0"/>
        <v>558703.544925311</v>
      </c>
      <c r="G33" s="25">
        <f t="shared" si="1"/>
        <v>682873.17873875797</v>
      </c>
      <c r="H33" s="20">
        <v>309750</v>
      </c>
      <c r="I33" s="26">
        <f>+VLOOKUP(A33,'Consuntivo 2023'!A:F,6,0)</f>
        <v>309771.2079999937</v>
      </c>
      <c r="J33" s="24">
        <f t="shared" si="2"/>
        <v>2.2045191348437743</v>
      </c>
      <c r="K33" s="97">
        <v>530443</v>
      </c>
      <c r="L33" s="7">
        <f>+VLOOKUP(K33,'[2]2.2 BV'!$A$26:$E$54,5,0)</f>
        <v>104318.08791000109</v>
      </c>
      <c r="M33" s="27">
        <v>28</v>
      </c>
      <c r="N33" s="22"/>
      <c r="O33" s="22"/>
      <c r="P33" s="22">
        <f t="shared" si="9"/>
        <v>104318.08791000109</v>
      </c>
      <c r="Q33" s="22">
        <f t="shared" si="3"/>
        <v>-2086.361758200022</v>
      </c>
      <c r="R33" s="97" t="s">
        <v>105</v>
      </c>
      <c r="S33" s="21">
        <f t="shared" si="4"/>
        <v>288067.5</v>
      </c>
      <c r="T33" s="21">
        <f t="shared" si="5"/>
        <v>-2580.66</v>
      </c>
      <c r="U33" s="51">
        <f t="shared" si="7"/>
        <v>285486.84000000003</v>
      </c>
    </row>
    <row r="34" spans="1:21" ht="14.45" customHeight="1" x14ac:dyDescent="0.25">
      <c r="A34" s="97" t="s">
        <v>107</v>
      </c>
      <c r="B34" s="27" t="s">
        <v>108</v>
      </c>
      <c r="C34" s="103" t="s">
        <v>72</v>
      </c>
      <c r="D34" s="104">
        <v>26.066380082730106</v>
      </c>
      <c r="E34" s="7">
        <v>21160</v>
      </c>
      <c r="F34" s="25">
        <f t="shared" si="0"/>
        <v>551564.60255056899</v>
      </c>
      <c r="G34" s="25">
        <f t="shared" si="1"/>
        <v>674147.63490329764</v>
      </c>
      <c r="H34" s="20">
        <v>100104</v>
      </c>
      <c r="I34" s="26">
        <f>+VLOOKUP(A34,'Consuntivo 2023'!A:F,6,0)</f>
        <v>75513.091999999189</v>
      </c>
      <c r="J34" s="24">
        <f t="shared" si="2"/>
        <v>7.6774717907673899</v>
      </c>
      <c r="K34" s="97">
        <v>450065</v>
      </c>
      <c r="L34" s="7">
        <f>+VLOOKUP(K34,'[2]2.2 BV'!$A$26:$E$54,5,0)</f>
        <v>0</v>
      </c>
      <c r="M34" s="27">
        <v>29</v>
      </c>
      <c r="N34" s="22"/>
      <c r="O34" s="22"/>
      <c r="P34" s="22">
        <f t="shared" si="9"/>
        <v>0</v>
      </c>
      <c r="Q34" s="22">
        <f t="shared" si="3"/>
        <v>0</v>
      </c>
      <c r="R34" s="97" t="s">
        <v>107</v>
      </c>
      <c r="S34" s="21">
        <f t="shared" si="4"/>
        <v>93096.719999999987</v>
      </c>
      <c r="T34" s="21">
        <f t="shared" si="5"/>
        <v>1861.9343999999999</v>
      </c>
      <c r="U34" s="51">
        <f t="shared" si="7"/>
        <v>94958.654399999985</v>
      </c>
    </row>
    <row r="35" spans="1:21" ht="14.45" customHeight="1" x14ac:dyDescent="0.25">
      <c r="B35" s="19" t="s">
        <v>5</v>
      </c>
      <c r="D35" s="18"/>
      <c r="E35" s="15">
        <f>SUM(E6:E34)</f>
        <v>505713</v>
      </c>
      <c r="F35" s="15">
        <f>SUM(F6:F18)</f>
        <v>3987464.4777106792</v>
      </c>
      <c r="G35" s="15">
        <v>4873662.5491899857</v>
      </c>
      <c r="H35" s="15">
        <f>SUM(H6:H34)</f>
        <v>5208691.4829999851</v>
      </c>
      <c r="I35" s="26">
        <f>SUM(I6:I34)</f>
        <v>4909274.4913443364</v>
      </c>
      <c r="J35" s="47">
        <f t="shared" si="2"/>
        <v>0.96336804483191907</v>
      </c>
      <c r="K35" s="17"/>
      <c r="L35" s="17">
        <f>SUM(L6:L34)</f>
        <v>4873662.5491899857</v>
      </c>
      <c r="M35" s="17"/>
      <c r="N35" s="17">
        <f>SUM(N6:N34)</f>
        <v>1624554.1844400105</v>
      </c>
      <c r="O35" s="17">
        <f>SUM(O6:O34)</f>
        <v>1624554.184119991</v>
      </c>
      <c r="P35" s="17">
        <f>SUM(P27:P34)</f>
        <v>1624554.1806299838</v>
      </c>
      <c r="Q35" s="17">
        <f>SUM(Q6:Q18)</f>
        <v>18892.738220400079</v>
      </c>
      <c r="R35" s="16"/>
      <c r="S35" s="16">
        <f>SUM(S6:S34)</f>
        <v>4873662.5491899857</v>
      </c>
      <c r="T35" s="16">
        <f>SUM(T6:T34)</f>
        <v>7.6200535431780736E-5</v>
      </c>
      <c r="U35" s="83">
        <f>SUM(U6:U34)</f>
        <v>4873662.5492661856</v>
      </c>
    </row>
    <row r="36" spans="1:21" ht="16.899999999999999" customHeight="1" x14ac:dyDescent="0.25">
      <c r="A36" s="71" t="s">
        <v>71</v>
      </c>
      <c r="K36" s="14" t="s">
        <v>4</v>
      </c>
      <c r="L36" s="13">
        <f>L35/3</f>
        <v>1624554.1830633285</v>
      </c>
      <c r="M36" s="12"/>
      <c r="N36" s="82">
        <f>$L36-N35</f>
        <v>-1.376681961119175E-3</v>
      </c>
      <c r="O36" s="82">
        <f>$L36-O35</f>
        <v>-1.0566625278443098E-3</v>
      </c>
      <c r="P36" s="11">
        <f>$L36-P35</f>
        <v>2.4333447217941284E-3</v>
      </c>
    </row>
    <row r="37" spans="1:21" x14ac:dyDescent="0.25">
      <c r="A37" s="71" t="s">
        <v>70</v>
      </c>
    </row>
    <row r="40" spans="1:21" ht="18.75" x14ac:dyDescent="0.3">
      <c r="E40" s="114" t="s">
        <v>38</v>
      </c>
      <c r="F40" s="114"/>
      <c r="G40" s="114"/>
      <c r="H40" s="114"/>
    </row>
    <row r="41" spans="1:21" ht="34.5" x14ac:dyDescent="0.25">
      <c r="E41" s="9" t="s">
        <v>36</v>
      </c>
      <c r="F41" s="8" t="s">
        <v>2</v>
      </c>
      <c r="G41" s="46" t="s">
        <v>1</v>
      </c>
      <c r="H41" s="8" t="s">
        <v>0</v>
      </c>
    </row>
    <row r="42" spans="1:21" x14ac:dyDescent="0.25">
      <c r="E42" s="24">
        <v>26.566600620221948</v>
      </c>
      <c r="F42" s="97">
        <v>470120</v>
      </c>
      <c r="G42" s="7">
        <f>+VLOOKUP(F42,'[2]2.2 BV'!$A$26:$E$54,5,0)</f>
        <v>6104.5199999999995</v>
      </c>
      <c r="H42" s="27">
        <v>1</v>
      </c>
    </row>
    <row r="43" spans="1:21" x14ac:dyDescent="0.25">
      <c r="E43" s="24">
        <v>15.450514961638309</v>
      </c>
      <c r="F43" s="97">
        <v>520307</v>
      </c>
      <c r="G43" s="7">
        <f>+VLOOKUP(F43,'[2]2.2 BV'!$A$26:$E$54,5,0)</f>
        <v>25266.872400000044</v>
      </c>
      <c r="H43" s="27">
        <v>2</v>
      </c>
    </row>
    <row r="44" spans="1:21" x14ac:dyDescent="0.25">
      <c r="E44" s="24">
        <v>13.377984474133399</v>
      </c>
      <c r="F44" s="97">
        <v>440076</v>
      </c>
      <c r="G44" s="7">
        <f>+VLOOKUP(F44,'[2]2.2 BV'!$A$26:$E$54,5,0)</f>
        <v>9363.24</v>
      </c>
      <c r="H44" s="27">
        <v>3</v>
      </c>
    </row>
    <row r="45" spans="1:21" x14ac:dyDescent="0.25">
      <c r="E45" s="24">
        <v>9.9826593105398445</v>
      </c>
      <c r="F45" s="97">
        <v>450064</v>
      </c>
      <c r="G45" s="7">
        <f>+VLOOKUP(F45,'[2]2.2 BV'!$A$26:$E$54,5,0)</f>
        <v>14803.74</v>
      </c>
      <c r="H45" s="27">
        <v>4</v>
      </c>
    </row>
    <row r="46" spans="1:21" x14ac:dyDescent="0.25">
      <c r="E46" s="24">
        <v>7.6774717907673899</v>
      </c>
      <c r="F46" s="97" t="s">
        <v>107</v>
      </c>
      <c r="G46" s="7">
        <f>+VLOOKUP(F46,'[2]2.2 BV'!$A$26:$E$54,5,0)</f>
        <v>93096.719999999987</v>
      </c>
      <c r="H46" s="27">
        <v>5</v>
      </c>
    </row>
    <row r="47" spans="1:21" x14ac:dyDescent="0.25">
      <c r="E47" s="24">
        <v>6.6864876922085417</v>
      </c>
      <c r="F47" s="97">
        <v>520313</v>
      </c>
      <c r="G47" s="7">
        <f>+VLOOKUP(F47,'[2]2.2 BV'!$A$26:$E$54,5,0)</f>
        <v>101515.07999999999</v>
      </c>
      <c r="H47" s="27">
        <v>6</v>
      </c>
    </row>
    <row r="48" spans="1:21" x14ac:dyDescent="0.25">
      <c r="E48" s="24">
        <v>5.8110389635254167</v>
      </c>
      <c r="F48" s="102">
        <v>460136</v>
      </c>
      <c r="G48" s="7">
        <f>+VLOOKUP(F48,'[2]2.2 BV'!$A$26:$E$54,5,0)</f>
        <v>135551.22</v>
      </c>
      <c r="H48" s="27">
        <v>7</v>
      </c>
    </row>
    <row r="49" spans="5:8" x14ac:dyDescent="0.25">
      <c r="E49" s="24">
        <v>4.7985062418789513</v>
      </c>
      <c r="F49" s="97">
        <v>510259</v>
      </c>
      <c r="G49" s="7">
        <f>+VLOOKUP(F49,'[2]2.2 BV'!$A$26:$E$54,5,0)</f>
        <v>106501.78650000079</v>
      </c>
      <c r="H49" s="27">
        <v>8</v>
      </c>
    </row>
    <row r="50" spans="5:8" x14ac:dyDescent="0.25">
      <c r="E50" s="24">
        <v>4.5320182614482363</v>
      </c>
      <c r="F50" s="97">
        <v>510260</v>
      </c>
      <c r="G50" s="7">
        <f>+VLOOKUP(F50,'[2]2.2 BV'!$A$26:$E$54,5,0)</f>
        <v>54996.114510000094</v>
      </c>
      <c r="H50" s="27">
        <v>9</v>
      </c>
    </row>
    <row r="51" spans="5:8" x14ac:dyDescent="0.25">
      <c r="E51" s="24">
        <v>4.4172122912175258</v>
      </c>
      <c r="F51" s="97">
        <v>450046</v>
      </c>
      <c r="G51" s="7">
        <f>+VLOOKUP(F51,'[2]2.2 BV'!$A$26:$E$54,5,0)</f>
        <v>73656.939299999998</v>
      </c>
      <c r="H51" s="27">
        <v>10</v>
      </c>
    </row>
    <row r="52" spans="5:8" x14ac:dyDescent="0.25">
      <c r="E52" s="24">
        <v>4.2133577903104955</v>
      </c>
      <c r="F52" s="97">
        <v>440006</v>
      </c>
      <c r="G52" s="7">
        <f>+VLOOKUP(F52,'[2]2.2 BV'!$A$26:$E$54,5,0)</f>
        <v>31461.899999999998</v>
      </c>
      <c r="H52" s="27">
        <v>11</v>
      </c>
    </row>
    <row r="53" spans="5:8" x14ac:dyDescent="0.25">
      <c r="E53" s="24">
        <v>3.7844018845743506</v>
      </c>
      <c r="F53" s="97">
        <v>490200</v>
      </c>
      <c r="G53" s="7">
        <f>+VLOOKUP(F53,'[2]2.2 BV'!$A$26:$E$54,5,0)</f>
        <v>210848.91831000318</v>
      </c>
      <c r="H53" s="27">
        <v>12</v>
      </c>
    </row>
    <row r="54" spans="5:8" x14ac:dyDescent="0.25">
      <c r="E54" s="24">
        <v>3.6800566298509261</v>
      </c>
      <c r="F54" s="97">
        <v>460094</v>
      </c>
      <c r="G54" s="7">
        <f>+VLOOKUP(F54,'[2]2.2 BV'!$A$26:$E$54,5,0)</f>
        <v>81469.86</v>
      </c>
      <c r="H54" s="27">
        <v>13</v>
      </c>
    </row>
    <row r="55" spans="5:8" x14ac:dyDescent="0.25">
      <c r="E55" s="24">
        <v>3.4661339885384237</v>
      </c>
      <c r="F55" s="97">
        <v>480203</v>
      </c>
      <c r="G55" s="7">
        <f>+VLOOKUP(F55,'[2]2.2 BV'!$A$26:$E$54,5,0)</f>
        <v>375267.08999999997</v>
      </c>
      <c r="H55" s="27">
        <v>14</v>
      </c>
    </row>
    <row r="56" spans="5:8" x14ac:dyDescent="0.25">
      <c r="E56" s="24">
        <v>3.4127721832031779</v>
      </c>
      <c r="F56" s="97" t="s">
        <v>82</v>
      </c>
      <c r="G56" s="7">
        <f>+VLOOKUP(F56,'[2]2.2 BV'!$A$26:$E$54,5,0)</f>
        <v>247563.48342000652</v>
      </c>
      <c r="H56" s="27">
        <v>15</v>
      </c>
    </row>
    <row r="57" spans="5:8" x14ac:dyDescent="0.25">
      <c r="E57" s="24">
        <v>3.0842005270959745</v>
      </c>
      <c r="F57" s="97">
        <v>530433</v>
      </c>
      <c r="G57" s="7">
        <f>+VLOOKUP(F57,'[2]2.2 BV'!$A$26:$E$54,5,0)</f>
        <v>100000</v>
      </c>
      <c r="H57" s="27">
        <v>16</v>
      </c>
    </row>
    <row r="58" spans="5:8" x14ac:dyDescent="0.25">
      <c r="E58" s="24">
        <v>2.7755678151178502</v>
      </c>
      <c r="F58" s="97">
        <v>530434</v>
      </c>
      <c r="G58" s="7">
        <f>+VLOOKUP(F58,'[2]2.2 BV'!$A$26:$E$54,5,0)</f>
        <v>575016.21</v>
      </c>
      <c r="H58" s="27">
        <v>17</v>
      </c>
    </row>
    <row r="59" spans="5:8" x14ac:dyDescent="0.25">
      <c r="E59" s="24">
        <v>2.5941345753988041</v>
      </c>
      <c r="F59" s="97">
        <v>530432</v>
      </c>
      <c r="G59" s="7">
        <f>+VLOOKUP(F59,'[2]2.2 BV'!$A$26:$E$54,5,0)</f>
        <v>560526.1720199897</v>
      </c>
      <c r="H59" s="27">
        <v>18</v>
      </c>
    </row>
    <row r="60" spans="5:8" x14ac:dyDescent="0.25">
      <c r="E60" s="24">
        <v>2.503172624088823</v>
      </c>
      <c r="F60" s="97">
        <v>470135</v>
      </c>
      <c r="G60" s="7">
        <f>+VLOOKUP(F60,'[2]2.2 BV'!$A$26:$E$54,5,0)</f>
        <v>133360.11210000119</v>
      </c>
      <c r="H60" s="27">
        <v>19</v>
      </c>
    </row>
    <row r="61" spans="5:8" x14ac:dyDescent="0.25">
      <c r="E61" s="24">
        <v>2.5014141993626988</v>
      </c>
      <c r="F61" s="97">
        <v>480212</v>
      </c>
      <c r="G61" s="7">
        <f>+VLOOKUP(F61,'[2]2.2 BV'!$A$26:$E$54,5,0)</f>
        <v>46054.53</v>
      </c>
      <c r="H61" s="27">
        <v>20</v>
      </c>
    </row>
    <row r="62" spans="5:8" x14ac:dyDescent="0.25">
      <c r="E62" s="24">
        <v>2.3969854926310208</v>
      </c>
      <c r="F62" s="97">
        <v>530337</v>
      </c>
      <c r="G62" s="7">
        <f>+VLOOKUP(F62,'[2]2.2 BV'!$A$26:$E$54,5,0)</f>
        <v>107649.35999999999</v>
      </c>
      <c r="H62" s="27">
        <v>21</v>
      </c>
    </row>
    <row r="63" spans="5:8" x14ac:dyDescent="0.25">
      <c r="E63" s="24">
        <v>2.2045191348437743</v>
      </c>
      <c r="F63" s="97" t="s">
        <v>105</v>
      </c>
      <c r="G63" s="7">
        <f>+VLOOKUP(F63,'[2]2.2 BV'!$A$26:$E$54,5,0)</f>
        <v>288067.5</v>
      </c>
      <c r="H63" s="27">
        <v>22</v>
      </c>
    </row>
    <row r="64" spans="5:8" x14ac:dyDescent="0.25">
      <c r="E64" s="24">
        <v>2.0119653576827545</v>
      </c>
      <c r="F64" s="97">
        <v>470134</v>
      </c>
      <c r="G64" s="7">
        <f>+VLOOKUP(F64,'[2]2.2 BV'!$A$26:$E$54,5,0)</f>
        <v>299076.98786999728</v>
      </c>
      <c r="H64" s="27">
        <v>23</v>
      </c>
    </row>
    <row r="65" spans="5:8" x14ac:dyDescent="0.25">
      <c r="E65" s="24">
        <v>1.9529319538430201</v>
      </c>
      <c r="F65" s="97">
        <v>490199</v>
      </c>
      <c r="G65" s="7">
        <f>+VLOOKUP(F65,'[2]2.2 BV'!$A$26:$E$54,5,0)</f>
        <v>646342.24751998053</v>
      </c>
      <c r="H65" s="27">
        <v>24</v>
      </c>
    </row>
    <row r="66" spans="5:8" x14ac:dyDescent="0.25">
      <c r="E66" s="24">
        <v>1.8785365355423524</v>
      </c>
      <c r="F66" s="97">
        <v>500267</v>
      </c>
      <c r="G66" s="7">
        <f>+VLOOKUP(F66,'[2]2.2 BV'!$A$26:$E$54,5,0)</f>
        <v>117166.98</v>
      </c>
      <c r="H66" s="27">
        <v>25</v>
      </c>
    </row>
    <row r="67" spans="5:8" x14ac:dyDescent="0.25">
      <c r="E67" s="24">
        <v>1.7313501589986771</v>
      </c>
      <c r="F67" s="97">
        <v>470131</v>
      </c>
      <c r="G67" s="7">
        <f>+VLOOKUP(F67,'[2]2.2 BV'!$A$26:$E$54,5,0)</f>
        <v>214172.49</v>
      </c>
      <c r="H67" s="27">
        <v>26</v>
      </c>
    </row>
    <row r="68" spans="5:8" x14ac:dyDescent="0.25">
      <c r="E68" s="24">
        <v>1.6464223081609994</v>
      </c>
      <c r="F68" s="97">
        <v>440005</v>
      </c>
      <c r="G68" s="7">
        <f>+VLOOKUP(F68,'[2]2.2 BV'!$A$26:$E$54,5,0)</f>
        <v>114444.3873300049</v>
      </c>
      <c r="H68" s="27">
        <v>27</v>
      </c>
    </row>
    <row r="69" spans="5:8" x14ac:dyDescent="0.25">
      <c r="E69" s="24">
        <v>1.6353189315828087</v>
      </c>
      <c r="F69" s="97">
        <v>530443</v>
      </c>
      <c r="G69" s="7">
        <f>+VLOOKUP(F69,'[2]2.2 BV'!$A$26:$E$54,5,0)</f>
        <v>104318.08791000109</v>
      </c>
      <c r="H69" s="27">
        <v>28</v>
      </c>
    </row>
    <row r="70" spans="5:8" x14ac:dyDescent="0.25">
      <c r="E70" s="24">
        <v>0</v>
      </c>
      <c r="F70" s="97">
        <v>450065</v>
      </c>
      <c r="G70" s="7">
        <f>+VLOOKUP(F70,'[2]2.2 BV'!$A$26:$E$54,5,0)</f>
        <v>0</v>
      </c>
      <c r="H70" s="27">
        <v>29</v>
      </c>
    </row>
    <row r="71" spans="5:8" x14ac:dyDescent="0.25">
      <c r="G71" s="1">
        <f>SUM(G42:G70)</f>
        <v>4873662.5491899857</v>
      </c>
    </row>
  </sheetData>
  <sheetProtection algorithmName="SHA-512" hashValue="lpeFQrJk2KAJl0b1GSmwo+OJk/3FPNDS5Gp8YUWg0tdMHV0etwGZXZZG944Gn7/hA5VqCbrCFRXrHbuFLhrHuQ==" saltValue="A6U+uol84B5sg3mzwA3EYA==" spinCount="100000" sheet="1" objects="1" scenarios="1"/>
  <sortState ref="E42:H70">
    <sortCondition descending="1" ref="E42:E70"/>
  </sortState>
  <mergeCells count="17">
    <mergeCell ref="C3:C5"/>
    <mergeCell ref="D3:D4"/>
    <mergeCell ref="E3:E5"/>
    <mergeCell ref="F3:F5"/>
    <mergeCell ref="G3:G5"/>
    <mergeCell ref="Q3:Q5"/>
    <mergeCell ref="R3:U4"/>
    <mergeCell ref="E40:H40"/>
    <mergeCell ref="K3:M3"/>
    <mergeCell ref="N3:P3"/>
    <mergeCell ref="H3:H5"/>
    <mergeCell ref="I3:I5"/>
    <mergeCell ref="J3:J5"/>
    <mergeCell ref="K4:K5"/>
    <mergeCell ref="L4:L5"/>
    <mergeCell ref="M4:M5"/>
    <mergeCell ref="N4:P4"/>
  </mergeCells>
  <printOptions horizontalCentered="1"/>
  <pageMargins left="0.70866141732283472" right="0.70866141732283472" top="1.1417322834645669" bottom="0.55118110236220474" header="0.70866141732283472" footer="0.31496062992125984"/>
  <pageSetup paperSize="9" scale="64" orientation="landscape" r:id="rId1"/>
  <headerFooter>
    <oddHeader>&amp;C&amp;"-,Grassetto"&amp;22INDICAZIONI OPERATIVE: Allegato CA_02</oddHeader>
    <oddFooter>&amp;Cpag. n.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C30" sqref="C30"/>
    </sheetView>
  </sheetViews>
  <sheetFormatPr defaultRowHeight="15" x14ac:dyDescent="0.25"/>
  <cols>
    <col min="1" max="1" width="8.140625" bestFit="1" customWidth="1"/>
    <col min="2" max="2" width="82.140625" bestFit="1" customWidth="1"/>
    <col min="3" max="5" width="23.7109375" customWidth="1"/>
    <col min="6" max="6" width="13.28515625" bestFit="1" customWidth="1"/>
  </cols>
  <sheetData>
    <row r="1" spans="1:6" ht="19.5" thickBot="1" x14ac:dyDescent="0.35">
      <c r="C1" s="145" t="s">
        <v>110</v>
      </c>
      <c r="D1" s="146"/>
      <c r="E1" s="146"/>
    </row>
    <row r="2" spans="1:6" x14ac:dyDescent="0.25">
      <c r="C2" s="147" t="s">
        <v>20</v>
      </c>
      <c r="D2" s="148"/>
      <c r="E2" s="149"/>
    </row>
    <row r="3" spans="1:6" x14ac:dyDescent="0.25">
      <c r="C3" s="118" t="s">
        <v>14</v>
      </c>
      <c r="D3" s="150" t="s">
        <v>13</v>
      </c>
      <c r="E3" s="152" t="s">
        <v>12</v>
      </c>
    </row>
    <row r="4" spans="1:6" ht="15.75" thickBot="1" x14ac:dyDescent="0.3">
      <c r="C4" s="119"/>
      <c r="D4" s="151"/>
      <c r="E4" s="153"/>
    </row>
    <row r="5" spans="1:6" x14ac:dyDescent="0.25">
      <c r="A5" s="100">
        <v>440005</v>
      </c>
      <c r="B5" t="s">
        <v>109</v>
      </c>
      <c r="C5" s="95">
        <v>116555.17300000406</v>
      </c>
      <c r="D5" s="95">
        <v>0</v>
      </c>
      <c r="E5" s="95">
        <v>0</v>
      </c>
      <c r="F5" s="101">
        <f>SUM(C5:E5)</f>
        <v>116555.17300000406</v>
      </c>
    </row>
    <row r="6" spans="1:6" x14ac:dyDescent="0.25">
      <c r="A6" s="100">
        <v>440006</v>
      </c>
      <c r="B6" s="1" t="s">
        <v>85</v>
      </c>
      <c r="C6" s="95">
        <v>33375.57999999982</v>
      </c>
      <c r="D6" s="95">
        <v>0</v>
      </c>
      <c r="E6" s="95">
        <v>0</v>
      </c>
      <c r="F6" s="101">
        <f t="shared" ref="F6:F33" si="0">SUM(C6:E6)</f>
        <v>33375.57999999982</v>
      </c>
    </row>
    <row r="7" spans="1:6" x14ac:dyDescent="0.25">
      <c r="A7" s="100">
        <v>440076</v>
      </c>
      <c r="B7" s="1" t="s">
        <v>77</v>
      </c>
      <c r="C7" s="95">
        <v>7876.4099999999598</v>
      </c>
      <c r="D7" s="95">
        <v>0</v>
      </c>
      <c r="E7" s="95">
        <v>0</v>
      </c>
      <c r="F7" s="101">
        <f t="shared" si="0"/>
        <v>7876.4099999999598</v>
      </c>
    </row>
    <row r="8" spans="1:6" x14ac:dyDescent="0.25">
      <c r="A8" s="100">
        <v>450046</v>
      </c>
      <c r="B8" s="1" t="s">
        <v>78</v>
      </c>
      <c r="C8" s="95">
        <v>44289.653343813494</v>
      </c>
      <c r="D8" s="95">
        <v>0</v>
      </c>
      <c r="E8" s="95">
        <v>0</v>
      </c>
      <c r="F8" s="101">
        <f t="shared" si="0"/>
        <v>44289.653343813494</v>
      </c>
    </row>
    <row r="9" spans="1:6" x14ac:dyDescent="0.25">
      <c r="A9" s="100">
        <v>450064</v>
      </c>
      <c r="B9" s="1" t="s">
        <v>86</v>
      </c>
      <c r="C9" s="95">
        <v>12269.265999999961</v>
      </c>
      <c r="D9" s="95">
        <v>0</v>
      </c>
      <c r="E9" s="95">
        <v>0</v>
      </c>
      <c r="F9" s="101">
        <f t="shared" si="0"/>
        <v>12269.265999999961</v>
      </c>
    </row>
    <row r="10" spans="1:6" x14ac:dyDescent="0.25">
      <c r="A10" s="100">
        <v>450065</v>
      </c>
      <c r="B10" s="1" t="s">
        <v>87</v>
      </c>
      <c r="C10" s="95">
        <v>0</v>
      </c>
      <c r="D10" s="95">
        <v>0</v>
      </c>
      <c r="E10" s="95">
        <v>0</v>
      </c>
      <c r="F10" s="101">
        <f t="shared" si="0"/>
        <v>0</v>
      </c>
    </row>
    <row r="11" spans="1:6" x14ac:dyDescent="0.25">
      <c r="A11" s="100">
        <v>460094</v>
      </c>
      <c r="B11" s="1" t="s">
        <v>88</v>
      </c>
      <c r="C11" s="95">
        <v>75341.187177677042</v>
      </c>
      <c r="D11" s="95">
        <v>0</v>
      </c>
      <c r="E11" s="95">
        <v>0</v>
      </c>
      <c r="F11" s="101">
        <f t="shared" si="0"/>
        <v>75341.187177677042</v>
      </c>
    </row>
    <row r="12" spans="1:6" x14ac:dyDescent="0.25">
      <c r="A12" s="100">
        <v>470120</v>
      </c>
      <c r="B12" s="1" t="s">
        <v>90</v>
      </c>
      <c r="C12" s="95">
        <v>2996.6299999999942</v>
      </c>
      <c r="D12" s="95">
        <v>0</v>
      </c>
      <c r="E12" s="95">
        <v>0</v>
      </c>
      <c r="F12" s="101">
        <f t="shared" si="0"/>
        <v>2996.6299999999942</v>
      </c>
    </row>
    <row r="13" spans="1:6" x14ac:dyDescent="0.25">
      <c r="A13" s="100">
        <v>470131</v>
      </c>
      <c r="B13" s="1" t="s">
        <v>91</v>
      </c>
      <c r="C13" s="95">
        <v>113474.84400000643</v>
      </c>
      <c r="D13" s="95">
        <v>0</v>
      </c>
      <c r="E13" s="95">
        <v>0</v>
      </c>
      <c r="F13" s="101">
        <f t="shared" si="0"/>
        <v>113474.84400000643</v>
      </c>
    </row>
    <row r="14" spans="1:6" x14ac:dyDescent="0.25">
      <c r="A14" s="100">
        <v>470134</v>
      </c>
      <c r="B14" s="1" t="s">
        <v>92</v>
      </c>
      <c r="C14" s="95">
        <v>318960.70599999698</v>
      </c>
      <c r="D14" s="95">
        <v>0</v>
      </c>
      <c r="E14" s="95">
        <v>0</v>
      </c>
      <c r="F14" s="101">
        <f t="shared" si="0"/>
        <v>318960.70599999698</v>
      </c>
    </row>
    <row r="15" spans="1:6" x14ac:dyDescent="0.25">
      <c r="A15" s="100">
        <v>470135</v>
      </c>
      <c r="B15" s="1" t="s">
        <v>93</v>
      </c>
      <c r="C15" s="95">
        <v>143397.97000000128</v>
      </c>
      <c r="D15" s="95">
        <v>764.88899999900605</v>
      </c>
      <c r="E15" s="95">
        <v>0</v>
      </c>
      <c r="F15" s="101">
        <f t="shared" si="0"/>
        <v>144162.85900000029</v>
      </c>
    </row>
    <row r="16" spans="1:6" x14ac:dyDescent="0.25">
      <c r="A16" s="100">
        <v>480203</v>
      </c>
      <c r="B16" s="1" t="s">
        <v>94</v>
      </c>
      <c r="C16" s="95">
        <v>403513</v>
      </c>
      <c r="D16" s="95">
        <v>40351.300000000003</v>
      </c>
      <c r="E16" s="95">
        <v>63339.824999981545</v>
      </c>
      <c r="F16" s="101">
        <f t="shared" si="0"/>
        <v>507204.12499998155</v>
      </c>
    </row>
    <row r="17" spans="1:6" x14ac:dyDescent="0.25">
      <c r="A17" s="100">
        <v>480212</v>
      </c>
      <c r="B17" s="1" t="s">
        <v>79</v>
      </c>
      <c r="C17" s="95">
        <v>26073.467000001692</v>
      </c>
      <c r="D17" s="95">
        <v>0</v>
      </c>
      <c r="E17" s="95">
        <v>0</v>
      </c>
      <c r="F17" s="101">
        <f t="shared" si="0"/>
        <v>26073.467000001692</v>
      </c>
    </row>
    <row r="18" spans="1:6" x14ac:dyDescent="0.25">
      <c r="A18" s="100">
        <v>490199</v>
      </c>
      <c r="B18" s="1" t="s">
        <v>95</v>
      </c>
      <c r="C18" s="95">
        <v>689391.90699997568</v>
      </c>
      <c r="D18" s="95">
        <v>0</v>
      </c>
      <c r="E18" s="95">
        <v>0</v>
      </c>
      <c r="F18" s="101">
        <f t="shared" si="0"/>
        <v>689391.90699997568</v>
      </c>
    </row>
    <row r="19" spans="1:6" x14ac:dyDescent="0.25">
      <c r="A19" s="100">
        <v>490200</v>
      </c>
      <c r="B19" s="1" t="s">
        <v>96</v>
      </c>
      <c r="C19" s="95">
        <v>226719.26700000343</v>
      </c>
      <c r="D19" s="95">
        <v>1119.9880000005651</v>
      </c>
      <c r="E19" s="95">
        <v>0</v>
      </c>
      <c r="F19" s="101">
        <f t="shared" si="0"/>
        <v>227839.25500000399</v>
      </c>
    </row>
    <row r="20" spans="1:6" x14ac:dyDescent="0.25">
      <c r="A20" s="100">
        <v>500267</v>
      </c>
      <c r="B20" s="1" t="s">
        <v>97</v>
      </c>
      <c r="C20" s="95">
        <v>125986</v>
      </c>
      <c r="D20" s="95">
        <v>1526.3160000010103</v>
      </c>
      <c r="E20" s="95">
        <v>0</v>
      </c>
      <c r="F20" s="101">
        <f t="shared" si="0"/>
        <v>127512.31600000101</v>
      </c>
    </row>
    <row r="21" spans="1:6" x14ac:dyDescent="0.25">
      <c r="A21" s="100">
        <v>510259</v>
      </c>
      <c r="B21" s="1" t="s">
        <v>98</v>
      </c>
      <c r="C21" s="95">
        <v>114518.05000000086</v>
      </c>
      <c r="D21" s="95">
        <v>4622.5660000005446</v>
      </c>
      <c r="E21" s="95">
        <v>0</v>
      </c>
      <c r="F21" s="101">
        <f t="shared" si="0"/>
        <v>119140.61600000141</v>
      </c>
    </row>
    <row r="22" spans="1:6" x14ac:dyDescent="0.25">
      <c r="A22" s="100">
        <v>510260</v>
      </c>
      <c r="B22" s="1" t="s">
        <v>99</v>
      </c>
      <c r="C22" s="95">
        <v>51253.092625286874</v>
      </c>
      <c r="D22" s="95">
        <v>0</v>
      </c>
      <c r="E22" s="95">
        <v>0</v>
      </c>
      <c r="F22" s="101">
        <f t="shared" si="0"/>
        <v>51253.092625286874</v>
      </c>
    </row>
    <row r="23" spans="1:6" x14ac:dyDescent="0.25">
      <c r="A23" s="100">
        <v>520307</v>
      </c>
      <c r="B23" s="1" t="s">
        <v>80</v>
      </c>
      <c r="C23" s="95">
        <v>25331.900000000056</v>
      </c>
      <c r="D23" s="95">
        <v>0</v>
      </c>
      <c r="E23" s="95">
        <v>0</v>
      </c>
      <c r="F23" s="101">
        <f t="shared" si="0"/>
        <v>25331.900000000056</v>
      </c>
    </row>
    <row r="24" spans="1:6" x14ac:dyDescent="0.25">
      <c r="A24" s="100">
        <v>520313</v>
      </c>
      <c r="B24" s="1" t="s">
        <v>100</v>
      </c>
      <c r="C24" s="95">
        <v>105808.48000000115</v>
      </c>
      <c r="D24" s="95">
        <v>0</v>
      </c>
      <c r="E24" s="95">
        <v>0</v>
      </c>
      <c r="F24" s="101">
        <f t="shared" si="0"/>
        <v>105808.48000000115</v>
      </c>
    </row>
    <row r="25" spans="1:6" x14ac:dyDescent="0.25">
      <c r="A25" s="100">
        <v>530337</v>
      </c>
      <c r="B25" s="1" t="s">
        <v>81</v>
      </c>
      <c r="C25" s="95">
        <v>110775.02619760539</v>
      </c>
      <c r="D25" s="95">
        <v>0</v>
      </c>
      <c r="E25" s="95">
        <v>0</v>
      </c>
      <c r="F25" s="101">
        <f t="shared" si="0"/>
        <v>110775.02619760539</v>
      </c>
    </row>
    <row r="26" spans="1:6" x14ac:dyDescent="0.25">
      <c r="A26" s="100">
        <v>530432</v>
      </c>
      <c r="B26" s="1" t="s">
        <v>101</v>
      </c>
      <c r="C26" s="95">
        <v>602716.31399998895</v>
      </c>
      <c r="D26" s="95">
        <v>38772.752000003238</v>
      </c>
      <c r="E26" s="95">
        <v>0</v>
      </c>
      <c r="F26" s="101">
        <f t="shared" si="0"/>
        <v>641489.06599999219</v>
      </c>
    </row>
    <row r="27" spans="1:6" x14ac:dyDescent="0.25">
      <c r="A27" s="100">
        <v>530433</v>
      </c>
      <c r="B27" s="1" t="s">
        <v>102</v>
      </c>
      <c r="C27" s="95">
        <v>61670.975000000624</v>
      </c>
      <c r="D27" s="95">
        <v>0</v>
      </c>
      <c r="E27" s="95">
        <v>0</v>
      </c>
      <c r="F27" s="101">
        <f t="shared" si="0"/>
        <v>61670.975000000624</v>
      </c>
    </row>
    <row r="28" spans="1:6" x14ac:dyDescent="0.25">
      <c r="A28" s="100">
        <v>530434</v>
      </c>
      <c r="B28" s="1" t="s">
        <v>103</v>
      </c>
      <c r="C28" s="95">
        <v>492931.43799998064</v>
      </c>
      <c r="D28" s="95">
        <v>0</v>
      </c>
      <c r="E28" s="95">
        <v>0</v>
      </c>
      <c r="F28" s="101">
        <f t="shared" si="0"/>
        <v>492931.43799998064</v>
      </c>
    </row>
    <row r="29" spans="1:6" x14ac:dyDescent="0.25">
      <c r="A29" s="100">
        <v>530443</v>
      </c>
      <c r="B29" s="1" t="s">
        <v>104</v>
      </c>
      <c r="C29" s="95">
        <v>103248.73400000195</v>
      </c>
      <c r="D29" s="95">
        <v>0</v>
      </c>
      <c r="E29" s="95">
        <v>0</v>
      </c>
      <c r="F29" s="101">
        <f t="shared" si="0"/>
        <v>103248.73400000195</v>
      </c>
    </row>
    <row r="30" spans="1:6" x14ac:dyDescent="0.25">
      <c r="A30" s="100" t="s">
        <v>82</v>
      </c>
      <c r="B30" s="1" t="s">
        <v>83</v>
      </c>
      <c r="C30" s="95">
        <v>266197.29400000704</v>
      </c>
      <c r="D30" s="95">
        <v>5603.1410000050091</v>
      </c>
      <c r="E30" s="95">
        <v>0</v>
      </c>
      <c r="F30" s="101">
        <f t="shared" si="0"/>
        <v>271800.43500001205</v>
      </c>
    </row>
    <row r="31" spans="1:6" x14ac:dyDescent="0.25">
      <c r="A31" s="100" t="s">
        <v>105</v>
      </c>
      <c r="B31" s="1" t="s">
        <v>106</v>
      </c>
      <c r="C31" s="95">
        <v>309750</v>
      </c>
      <c r="D31" s="95">
        <v>21.20799999369774</v>
      </c>
      <c r="E31" s="95">
        <v>0</v>
      </c>
      <c r="F31" s="101">
        <f t="shared" si="0"/>
        <v>309771.2079999937</v>
      </c>
    </row>
    <row r="32" spans="1:6" x14ac:dyDescent="0.25">
      <c r="A32" s="100" t="s">
        <v>107</v>
      </c>
      <c r="B32" s="1" t="s">
        <v>108</v>
      </c>
      <c r="C32" s="95">
        <v>75513.091999999189</v>
      </c>
      <c r="D32" s="95">
        <v>0</v>
      </c>
      <c r="E32" s="95">
        <v>0</v>
      </c>
      <c r="F32" s="101">
        <f t="shared" si="0"/>
        <v>75513.091999999189</v>
      </c>
    </row>
    <row r="33" spans="1:6" x14ac:dyDescent="0.25">
      <c r="A33" s="100">
        <v>460136</v>
      </c>
      <c r="B33" s="1" t="s">
        <v>89</v>
      </c>
      <c r="C33" s="95">
        <v>93217.050000000032</v>
      </c>
      <c r="D33" s="95">
        <v>0</v>
      </c>
      <c r="E33" s="95">
        <v>0</v>
      </c>
      <c r="F33" s="101">
        <f t="shared" si="0"/>
        <v>93217.050000000032</v>
      </c>
    </row>
    <row r="34" spans="1:6" x14ac:dyDescent="0.25">
      <c r="F34" s="101">
        <f>SUM(F5:F33)</f>
        <v>4909274.4913443374</v>
      </c>
    </row>
  </sheetData>
  <mergeCells count="5">
    <mergeCell ref="C1:E1"/>
    <mergeCell ref="C2:E2"/>
    <mergeCell ref="C3:C4"/>
    <mergeCell ref="D3:D4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L68"/>
  <sheetViews>
    <sheetView tabSelected="1" zoomScaleNormal="100" workbookViewId="0">
      <pane xSplit="2" ySplit="5" topLeftCell="C6" activePane="bottomRight" state="frozen"/>
      <selection activeCell="B5" sqref="B5"/>
      <selection pane="topRight" activeCell="B5" sqref="B5"/>
      <selection pane="bottomLeft" activeCell="B5" sqref="B5"/>
      <selection pane="bottomRight" activeCell="K32" sqref="K32"/>
    </sheetView>
  </sheetViews>
  <sheetFormatPr defaultColWidth="8.85546875" defaultRowHeight="15" x14ac:dyDescent="0.25"/>
  <cols>
    <col min="1" max="1" width="7.85546875" style="3" bestFit="1" customWidth="1"/>
    <col min="2" max="2" width="72.28515625" style="2" bestFit="1" customWidth="1"/>
    <col min="3" max="3" width="0.85546875" style="1" customWidth="1"/>
    <col min="4" max="4" width="10.140625" style="1" customWidth="1"/>
    <col min="5" max="5" width="0.85546875" style="1" customWidth="1"/>
    <col min="6" max="6" width="8.85546875" style="1" bestFit="1" customWidth="1"/>
    <col min="7" max="8" width="10.140625" style="1" customWidth="1"/>
    <col min="9" max="9" width="6.7109375" style="1" customWidth="1"/>
    <col min="10" max="10" width="10.140625" style="1" bestFit="1" customWidth="1"/>
    <col min="11" max="11" width="13.85546875" style="1" bestFit="1" customWidth="1"/>
    <col min="12" max="12" width="10.7109375" style="1" customWidth="1"/>
    <col min="13" max="13" width="8.7109375" style="1" customWidth="1"/>
    <col min="14" max="14" width="0.85546875" style="1" customWidth="1"/>
    <col min="15" max="15" width="9.7109375" style="1" customWidth="1"/>
    <col min="16" max="17" width="10.140625" style="1" customWidth="1"/>
    <col min="18" max="18" width="6.7109375" style="1" customWidth="1"/>
    <col min="19" max="21" width="10.140625" style="1" bestFit="1" customWidth="1"/>
    <col min="22" max="22" width="8.7109375" style="1" customWidth="1"/>
    <col min="23" max="23" width="0.85546875" style="1" customWidth="1"/>
    <col min="24" max="24" width="8.7109375" style="1" customWidth="1"/>
    <col min="25" max="26" width="10.7109375" style="1" customWidth="1"/>
    <col min="27" max="27" width="0.85546875" style="1" customWidth="1"/>
    <col min="28" max="29" width="10.7109375" style="1" customWidth="1"/>
    <col min="30" max="30" width="0.85546875" style="1" customWidth="1"/>
    <col min="31" max="31" width="12.85546875" style="1" customWidth="1"/>
    <col min="32" max="32" width="16.140625" style="1" customWidth="1"/>
    <col min="33" max="33" width="4.140625" style="1" bestFit="1" customWidth="1"/>
    <col min="34" max="34" width="2.7109375" style="1" customWidth="1"/>
    <col min="35" max="35" width="10.28515625" style="1" customWidth="1"/>
    <col min="36" max="36" width="6.5703125" style="1" bestFit="1" customWidth="1"/>
    <col min="37" max="53" width="10.7109375" style="1" customWidth="1"/>
    <col min="54" max="16384" width="8.85546875" style="1"/>
  </cols>
  <sheetData>
    <row r="1" spans="1:38" ht="31.9" customHeight="1" x14ac:dyDescent="0.25">
      <c r="A1" s="44" t="s">
        <v>115</v>
      </c>
    </row>
    <row r="2" spans="1:38" ht="16.149999999999999" customHeight="1" x14ac:dyDescent="0.25">
      <c r="A2" s="36">
        <v>1</v>
      </c>
      <c r="B2" s="36">
        <v>2</v>
      </c>
      <c r="C2" s="59"/>
      <c r="D2" s="36">
        <v>3</v>
      </c>
      <c r="E2" s="59"/>
      <c r="F2" s="48">
        <v>4</v>
      </c>
      <c r="G2" s="48">
        <v>5</v>
      </c>
      <c r="H2" s="48">
        <v>6</v>
      </c>
      <c r="I2" s="48">
        <v>7</v>
      </c>
      <c r="J2" s="48">
        <v>8</v>
      </c>
      <c r="K2" s="48">
        <v>9</v>
      </c>
      <c r="L2" s="48">
        <v>10</v>
      </c>
      <c r="M2" s="48">
        <v>11</v>
      </c>
      <c r="N2" s="59"/>
      <c r="O2" s="48">
        <v>12</v>
      </c>
      <c r="P2" s="48">
        <v>13</v>
      </c>
      <c r="Q2" s="48">
        <v>14</v>
      </c>
      <c r="R2" s="48">
        <v>15</v>
      </c>
      <c r="S2" s="48">
        <v>16</v>
      </c>
      <c r="T2" s="48">
        <v>17</v>
      </c>
      <c r="U2" s="48">
        <v>18</v>
      </c>
      <c r="V2" s="48">
        <v>19</v>
      </c>
      <c r="W2" s="59"/>
      <c r="X2" s="67">
        <v>20</v>
      </c>
      <c r="Y2" s="67">
        <v>21</v>
      </c>
      <c r="Z2" s="67">
        <v>22</v>
      </c>
      <c r="AA2" s="68"/>
      <c r="AB2" s="67">
        <v>23</v>
      </c>
      <c r="AC2" s="67">
        <v>24</v>
      </c>
      <c r="AD2" s="59"/>
      <c r="AE2" s="66" t="s">
        <v>56</v>
      </c>
    </row>
    <row r="3" spans="1:38" ht="22.15" customHeight="1" x14ac:dyDescent="0.25">
      <c r="A3" s="32" t="s">
        <v>28</v>
      </c>
      <c r="B3" s="52" t="s">
        <v>113</v>
      </c>
      <c r="C3" s="59"/>
      <c r="D3" s="162" t="s">
        <v>55</v>
      </c>
      <c r="E3" s="59"/>
      <c r="F3" s="135" t="s">
        <v>59</v>
      </c>
      <c r="G3" s="136"/>
      <c r="H3" s="136"/>
      <c r="I3" s="137"/>
      <c r="J3" s="125" t="s">
        <v>21</v>
      </c>
      <c r="K3" s="125"/>
      <c r="L3" s="125"/>
      <c r="M3" s="157" t="s">
        <v>68</v>
      </c>
      <c r="N3" s="59"/>
      <c r="O3" s="135" t="s">
        <v>58</v>
      </c>
      <c r="P3" s="136"/>
      <c r="Q3" s="136"/>
      <c r="R3" s="137"/>
      <c r="S3" s="125" t="s">
        <v>21</v>
      </c>
      <c r="T3" s="125"/>
      <c r="U3" s="125"/>
      <c r="V3" s="157" t="s">
        <v>69</v>
      </c>
      <c r="W3" s="59"/>
      <c r="X3" s="168" t="s">
        <v>63</v>
      </c>
      <c r="Y3" s="164" t="s">
        <v>52</v>
      </c>
      <c r="Z3" s="165"/>
      <c r="AA3" s="68"/>
      <c r="AB3" s="159" t="s">
        <v>65</v>
      </c>
      <c r="AC3" s="159" t="s">
        <v>66</v>
      </c>
      <c r="AD3" s="59"/>
      <c r="AE3" s="163" t="s">
        <v>64</v>
      </c>
      <c r="AG3" s="28">
        <v>0.03</v>
      </c>
      <c r="AI3" s="108" t="s">
        <v>57</v>
      </c>
    </row>
    <row r="4" spans="1:38" ht="22.15" customHeight="1" x14ac:dyDescent="0.25">
      <c r="A4" s="32" t="s">
        <v>19</v>
      </c>
      <c r="B4" s="60" t="s">
        <v>114</v>
      </c>
      <c r="C4" s="59"/>
      <c r="D4" s="162"/>
      <c r="E4" s="59"/>
      <c r="F4" s="158" t="s">
        <v>18</v>
      </c>
      <c r="G4" s="157" t="s">
        <v>60</v>
      </c>
      <c r="H4" s="157" t="s">
        <v>111</v>
      </c>
      <c r="I4" s="158" t="s">
        <v>16</v>
      </c>
      <c r="J4" s="125" t="s">
        <v>15</v>
      </c>
      <c r="K4" s="125"/>
      <c r="L4" s="125"/>
      <c r="M4" s="157"/>
      <c r="N4" s="59"/>
      <c r="O4" s="158" t="s">
        <v>18</v>
      </c>
      <c r="P4" s="157" t="s">
        <v>60</v>
      </c>
      <c r="Q4" s="157" t="s">
        <v>112</v>
      </c>
      <c r="R4" s="158" t="s">
        <v>16</v>
      </c>
      <c r="S4" s="125" t="s">
        <v>15</v>
      </c>
      <c r="T4" s="125"/>
      <c r="U4" s="125"/>
      <c r="V4" s="157"/>
      <c r="W4" s="59"/>
      <c r="X4" s="168"/>
      <c r="Y4" s="166"/>
      <c r="Z4" s="167"/>
      <c r="AA4" s="68"/>
      <c r="AB4" s="160"/>
      <c r="AC4" s="160"/>
      <c r="AD4" s="59"/>
      <c r="AE4" s="163"/>
      <c r="AG4" s="28">
        <v>0</v>
      </c>
      <c r="AI4" s="109"/>
    </row>
    <row r="5" spans="1:38" ht="22.35" customHeight="1" x14ac:dyDescent="0.25">
      <c r="A5" s="54" t="s">
        <v>11</v>
      </c>
      <c r="B5" s="55" t="s">
        <v>10</v>
      </c>
      <c r="C5" s="59"/>
      <c r="D5" s="162"/>
      <c r="E5" s="59"/>
      <c r="F5" s="158"/>
      <c r="G5" s="157"/>
      <c r="H5" s="157"/>
      <c r="I5" s="158"/>
      <c r="J5" s="57" t="s">
        <v>8</v>
      </c>
      <c r="K5" s="57" t="s">
        <v>7</v>
      </c>
      <c r="L5" s="57" t="s">
        <v>6</v>
      </c>
      <c r="M5" s="157"/>
      <c r="N5" s="59"/>
      <c r="O5" s="158"/>
      <c r="P5" s="157"/>
      <c r="Q5" s="157"/>
      <c r="R5" s="158"/>
      <c r="S5" s="57" t="s">
        <v>8</v>
      </c>
      <c r="T5" s="57" t="s">
        <v>7</v>
      </c>
      <c r="U5" s="57" t="s">
        <v>6</v>
      </c>
      <c r="V5" s="157"/>
      <c r="W5" s="59"/>
      <c r="X5" s="168"/>
      <c r="Y5" s="69" t="s">
        <v>61</v>
      </c>
      <c r="Z5" s="61" t="s">
        <v>62</v>
      </c>
      <c r="AA5" s="68"/>
      <c r="AB5" s="161"/>
      <c r="AC5" s="161"/>
      <c r="AD5" s="59"/>
      <c r="AE5" s="163"/>
      <c r="AG5" s="28">
        <v>-0.03</v>
      </c>
      <c r="AI5" s="110"/>
      <c r="AK5" s="1" t="s">
        <v>34</v>
      </c>
    </row>
    <row r="6" spans="1:38" ht="14.45" customHeight="1" x14ac:dyDescent="0.25">
      <c r="A6" s="97">
        <v>440005</v>
      </c>
      <c r="B6" s="27" t="s">
        <v>84</v>
      </c>
      <c r="D6" s="15">
        <f>+VLOOKUP(A6,'[2]2.2 BV'!$A$26:$E$54,5,0)</f>
        <v>114444.3873300049</v>
      </c>
      <c r="F6" s="97">
        <v>500267</v>
      </c>
      <c r="G6" s="89">
        <v>17</v>
      </c>
      <c r="H6" s="27">
        <v>123466.28</v>
      </c>
      <c r="I6" s="23">
        <v>1</v>
      </c>
      <c r="J6" s="1">
        <f>+H6</f>
        <v>123466.28</v>
      </c>
      <c r="M6" s="62">
        <f>(J6*$AG$3)+(K6*$AG$4)+(L6*$AG$5)</f>
        <v>3703.9883999999997</v>
      </c>
      <c r="O6" s="97">
        <v>530432</v>
      </c>
      <c r="P6" s="89">
        <v>15</v>
      </c>
      <c r="Q6" s="6">
        <v>560526.1720199897</v>
      </c>
      <c r="R6" s="23">
        <v>1</v>
      </c>
      <c r="S6" s="27">
        <f>+Q6</f>
        <v>560526.1720199897</v>
      </c>
      <c r="T6" s="27"/>
      <c r="U6" s="27"/>
      <c r="V6" s="22">
        <f t="shared" ref="V6:V34" si="0">(S6*$AG$3)+(T6*$AG$4)+(U6*$AG$5)</f>
        <v>16815.785160599691</v>
      </c>
      <c r="X6" s="3">
        <v>440005</v>
      </c>
      <c r="Y6" s="27">
        <f t="shared" ref="Y6:Y34" si="1">VLOOKUP(X6,$F$6:$M$34,8,FALSE)</f>
        <v>3617.9193414001552</v>
      </c>
      <c r="Z6" s="27">
        <f t="shared" ref="Z6:Z34" si="2">VLOOKUP(X6,$O$6:$V$34,8,FALSE)</f>
        <v>3364.664987502144</v>
      </c>
      <c r="AA6" s="27"/>
      <c r="AB6" s="7">
        <f>+BV_NA1_2022!T6</f>
        <v>-2461.1696200001056</v>
      </c>
      <c r="AC6" s="7">
        <f>+BV_NA1_2023!T6</f>
        <v>-2288.8877466000981</v>
      </c>
      <c r="AE6" s="41">
        <f>Y6+Z6+AB6+AC6</f>
        <v>2232.5269623020954</v>
      </c>
      <c r="AI6" s="43">
        <f t="shared" ref="AI6:AI34" si="3">AE6/D6</f>
        <v>1.9507526881720427E-2</v>
      </c>
      <c r="AK6" s="42"/>
      <c r="AL6" s="10"/>
    </row>
    <row r="7" spans="1:38" ht="14.45" customHeight="1" x14ac:dyDescent="0.25">
      <c r="A7" s="97">
        <v>440006</v>
      </c>
      <c r="B7" s="27" t="s">
        <v>85</v>
      </c>
      <c r="D7" s="15">
        <f>+VLOOKUP(A7,'[2]2.2 BV'!$A$26:$E$54,5,0)</f>
        <v>31461.899999999998</v>
      </c>
      <c r="F7" s="97" t="s">
        <v>82</v>
      </c>
      <c r="G7" s="89">
        <v>15</v>
      </c>
      <c r="H7" s="27">
        <v>266197.29400000704</v>
      </c>
      <c r="I7" s="23">
        <v>2</v>
      </c>
      <c r="J7" s="1">
        <f t="shared" ref="J7:J11" si="4">+H7</f>
        <v>266197.29400000704</v>
      </c>
      <c r="M7" s="62">
        <f t="shared" ref="M7:M34" si="5">(J7*$AG$3)+(K7*$AG$4)+(L7*$AG$5)</f>
        <v>7985.9188200002109</v>
      </c>
      <c r="O7" s="97" t="s">
        <v>82</v>
      </c>
      <c r="P7" s="89">
        <v>14</v>
      </c>
      <c r="Q7" s="6">
        <v>252514.75308840667</v>
      </c>
      <c r="R7" s="23">
        <v>2</v>
      </c>
      <c r="S7" s="27">
        <f t="shared" ref="S7:S11" si="6">+Q7</f>
        <v>252514.75308840667</v>
      </c>
      <c r="T7" s="27"/>
      <c r="U7" s="27"/>
      <c r="V7" s="22">
        <f t="shared" si="0"/>
        <v>7575.4425926521999</v>
      </c>
      <c r="X7" s="3">
        <v>440006</v>
      </c>
      <c r="Y7" s="27">
        <f t="shared" si="1"/>
        <v>-4.3251255269498508</v>
      </c>
      <c r="Z7" s="27">
        <f t="shared" si="2"/>
        <v>962.73413999999991</v>
      </c>
      <c r="AA7" s="27"/>
      <c r="AB7" s="7">
        <f>+BV_NA1_2022!T7</f>
        <v>676.6</v>
      </c>
      <c r="AC7" s="7">
        <f>+BV_NA1_2023!T7</f>
        <v>629.23799999999994</v>
      </c>
      <c r="AE7" s="41">
        <f t="shared" ref="AE7:AE34" si="7">Y7+Z7+AB7+AC7</f>
        <v>2264.2470144730501</v>
      </c>
      <c r="AI7" s="43">
        <f t="shared" si="3"/>
        <v>7.1967904496328894E-2</v>
      </c>
      <c r="AK7" s="43"/>
      <c r="AL7" s="10"/>
    </row>
    <row r="8" spans="1:38" ht="14.45" customHeight="1" x14ac:dyDescent="0.25">
      <c r="A8" s="97">
        <v>440076</v>
      </c>
      <c r="B8" s="27" t="s">
        <v>77</v>
      </c>
      <c r="D8" s="15">
        <f>+VLOOKUP(A8,'[2]2.2 BV'!$A$26:$E$54,5,0)</f>
        <v>9363.24</v>
      </c>
      <c r="F8" s="97">
        <v>530432</v>
      </c>
      <c r="G8" s="89">
        <v>14</v>
      </c>
      <c r="H8" s="27">
        <v>597910.0477199892</v>
      </c>
      <c r="I8" s="23">
        <v>3</v>
      </c>
      <c r="J8" s="1">
        <f t="shared" si="4"/>
        <v>597910.0477199892</v>
      </c>
      <c r="M8" s="62">
        <f t="shared" si="5"/>
        <v>17937.301431599677</v>
      </c>
      <c r="O8" s="97">
        <v>500267</v>
      </c>
      <c r="P8" s="89">
        <v>12</v>
      </c>
      <c r="Q8" s="6">
        <v>114823.64039999999</v>
      </c>
      <c r="R8" s="23">
        <v>3</v>
      </c>
      <c r="S8" s="27">
        <f t="shared" si="6"/>
        <v>114823.64039999999</v>
      </c>
      <c r="T8" s="27"/>
      <c r="U8" s="27"/>
      <c r="V8" s="22">
        <f t="shared" si="0"/>
        <v>3444.7092119999998</v>
      </c>
      <c r="X8" s="3">
        <v>440076</v>
      </c>
      <c r="Y8" s="27">
        <f t="shared" si="1"/>
        <v>-308.08080000000001</v>
      </c>
      <c r="Z8" s="27">
        <f t="shared" si="2"/>
        <v>180.58786501455697</v>
      </c>
      <c r="AA8" s="27"/>
      <c r="AB8" s="7">
        <f>+BV_NA1_2022!T8</f>
        <v>201.36</v>
      </c>
      <c r="AC8" s="7">
        <f>+BV_NA1_2023!T8</f>
        <v>187.26480000000001</v>
      </c>
      <c r="AE8" s="41">
        <f t="shared" si="7"/>
        <v>261.13186501455698</v>
      </c>
      <c r="AI8" s="43">
        <f t="shared" si="3"/>
        <v>2.788904962540285E-2</v>
      </c>
      <c r="AK8" s="42"/>
      <c r="AL8" s="10"/>
    </row>
    <row r="9" spans="1:38" ht="14.45" customHeight="1" x14ac:dyDescent="0.25">
      <c r="A9" s="97">
        <v>450046</v>
      </c>
      <c r="B9" s="27" t="s">
        <v>78</v>
      </c>
      <c r="D9" s="15">
        <f>+VLOOKUP(A9,'[2]2.2 BV'!$A$26:$E$54,5,0)</f>
        <v>73656.939299999998</v>
      </c>
      <c r="F9" s="97">
        <v>440005</v>
      </c>
      <c r="G9" s="89">
        <v>13</v>
      </c>
      <c r="H9" s="27">
        <v>120597.31138000518</v>
      </c>
      <c r="I9" s="23">
        <v>4</v>
      </c>
      <c r="J9" s="1">
        <f t="shared" si="4"/>
        <v>120597.31138000518</v>
      </c>
      <c r="M9" s="62">
        <f t="shared" si="5"/>
        <v>3617.9193414001552</v>
      </c>
      <c r="O9" s="97">
        <v>440005</v>
      </c>
      <c r="P9" s="89">
        <v>11</v>
      </c>
      <c r="Q9" s="6">
        <v>112155.4995834048</v>
      </c>
      <c r="R9" s="23">
        <v>4</v>
      </c>
      <c r="S9" s="27">
        <f t="shared" si="6"/>
        <v>112155.4995834048</v>
      </c>
      <c r="T9" s="27"/>
      <c r="U9" s="27"/>
      <c r="V9" s="22">
        <f t="shared" si="0"/>
        <v>3364.664987502144</v>
      </c>
      <c r="X9" s="3">
        <v>450046</v>
      </c>
      <c r="Y9" s="27">
        <f t="shared" si="1"/>
        <v>-2423.5509059999999</v>
      </c>
      <c r="Z9" s="27">
        <f t="shared" si="2"/>
        <v>-2253.9023425799996</v>
      </c>
      <c r="AA9" s="27"/>
      <c r="AB9" s="7">
        <f>+BV_NA1_2022!T9</f>
        <v>1584.0202000000002</v>
      </c>
      <c r="AC9" s="7">
        <f>+BV_NA1_2023!T9</f>
        <v>1473.138786</v>
      </c>
      <c r="AE9" s="41">
        <f t="shared" si="7"/>
        <v>-1620.2942625799992</v>
      </c>
      <c r="AI9" s="43">
        <f t="shared" si="3"/>
        <v>-2.199784946236558E-2</v>
      </c>
      <c r="AK9" s="42"/>
      <c r="AL9" s="10"/>
    </row>
    <row r="10" spans="1:38" ht="14.45" customHeight="1" x14ac:dyDescent="0.25">
      <c r="A10" s="97">
        <v>450064</v>
      </c>
      <c r="B10" s="27" t="s">
        <v>86</v>
      </c>
      <c r="D10" s="15">
        <f>+VLOOKUP(A10,'[2]2.2 BV'!$A$26:$E$54,5,0)</f>
        <v>14803.74</v>
      </c>
      <c r="F10" s="97">
        <v>480203</v>
      </c>
      <c r="G10" s="89">
        <v>11</v>
      </c>
      <c r="H10" s="27">
        <v>411583.26</v>
      </c>
      <c r="I10" s="23">
        <v>5</v>
      </c>
      <c r="J10" s="1">
        <f t="shared" si="4"/>
        <v>411583.26</v>
      </c>
      <c r="L10" s="27"/>
      <c r="M10" s="62">
        <f t="shared" si="5"/>
        <v>12347.497799999999</v>
      </c>
      <c r="O10" s="97">
        <v>440006</v>
      </c>
      <c r="P10" s="89">
        <v>11</v>
      </c>
      <c r="Q10" s="6">
        <v>32091.137999999999</v>
      </c>
      <c r="R10" s="23">
        <v>5</v>
      </c>
      <c r="S10" s="27">
        <f t="shared" si="6"/>
        <v>32091.137999999999</v>
      </c>
      <c r="T10" s="27"/>
      <c r="U10" s="27"/>
      <c r="V10" s="22">
        <f t="shared" si="0"/>
        <v>962.73413999999991</v>
      </c>
      <c r="X10" s="3">
        <v>450064</v>
      </c>
      <c r="Y10" s="27">
        <f t="shared" si="1"/>
        <v>-487.0908</v>
      </c>
      <c r="Z10" s="27">
        <f t="shared" si="2"/>
        <v>-56.08249182152958</v>
      </c>
      <c r="AA10" s="27"/>
      <c r="AB10" s="7">
        <f>+BV_NA1_2022!T10</f>
        <v>318.36</v>
      </c>
      <c r="AC10" s="7">
        <f>+BV_NA1_2023!T10</f>
        <v>296.07479999999998</v>
      </c>
      <c r="AE10" s="41">
        <f t="shared" si="7"/>
        <v>71.261508178470422</v>
      </c>
      <c r="AI10" s="43">
        <f t="shared" si="3"/>
        <v>4.8137503210992916E-3</v>
      </c>
      <c r="AK10" s="42"/>
      <c r="AL10" s="10"/>
    </row>
    <row r="11" spans="1:38" ht="14.45" customHeight="1" x14ac:dyDescent="0.25">
      <c r="A11" s="97">
        <v>450065</v>
      </c>
      <c r="B11" s="27" t="s">
        <v>87</v>
      </c>
      <c r="D11" s="15">
        <f>+VLOOKUP(A11,'[2]2.2 BV'!$A$26:$E$54,5,0)</f>
        <v>0</v>
      </c>
      <c r="F11" s="97">
        <v>530433</v>
      </c>
      <c r="G11" s="89">
        <v>10</v>
      </c>
      <c r="H11" s="27">
        <v>75721</v>
      </c>
      <c r="I11" s="23">
        <v>6</v>
      </c>
      <c r="J11" s="1">
        <f t="shared" si="4"/>
        <v>75721</v>
      </c>
      <c r="L11" s="27"/>
      <c r="M11" s="62">
        <f t="shared" si="5"/>
        <v>2271.63</v>
      </c>
      <c r="O11" s="97">
        <v>530433</v>
      </c>
      <c r="P11" s="89">
        <v>11</v>
      </c>
      <c r="Q11" s="6">
        <v>101141.734</v>
      </c>
      <c r="R11" s="23">
        <v>6</v>
      </c>
      <c r="S11" s="27">
        <f t="shared" si="6"/>
        <v>101141.734</v>
      </c>
      <c r="T11" s="27"/>
      <c r="U11" s="27"/>
      <c r="V11" s="22">
        <f t="shared" si="0"/>
        <v>3034.2520199999999</v>
      </c>
      <c r="X11" s="3">
        <v>450065</v>
      </c>
      <c r="Y11" s="27">
        <f t="shared" si="1"/>
        <v>0</v>
      </c>
      <c r="Z11" s="27">
        <f t="shared" si="2"/>
        <v>0</v>
      </c>
      <c r="AA11" s="27"/>
      <c r="AB11" s="7">
        <f>+BV_NA1_2022!T11</f>
        <v>0</v>
      </c>
      <c r="AC11" s="7">
        <f>+BV_NA1_2023!T11</f>
        <v>0</v>
      </c>
      <c r="AE11" s="41">
        <f t="shared" si="7"/>
        <v>0</v>
      </c>
      <c r="AI11" s="43">
        <v>0</v>
      </c>
      <c r="AK11" s="42"/>
      <c r="AL11" s="10"/>
    </row>
    <row r="12" spans="1:38" ht="14.45" customHeight="1" x14ac:dyDescent="0.25">
      <c r="A12" s="97">
        <v>460094</v>
      </c>
      <c r="B12" s="27" t="s">
        <v>88</v>
      </c>
      <c r="D12" s="15">
        <f>+VLOOKUP(A12,'[2]2.2 BV'!$A$26:$E$54,5,0)</f>
        <v>81469.86</v>
      </c>
      <c r="F12" s="97">
        <v>510259</v>
      </c>
      <c r="G12" s="89">
        <v>9</v>
      </c>
      <c r="H12" s="27">
        <v>116808.41100000088</v>
      </c>
      <c r="I12" s="23">
        <v>7</v>
      </c>
      <c r="J12" s="1">
        <f>+H12*$J$42</f>
        <v>71106.630054230583</v>
      </c>
      <c r="K12" s="1">
        <f>+H12-J12</f>
        <v>45701.780945770297</v>
      </c>
      <c r="L12" s="27"/>
      <c r="M12" s="62">
        <f t="shared" si="5"/>
        <v>2133.1989016269176</v>
      </c>
      <c r="O12" s="97">
        <v>440076</v>
      </c>
      <c r="P12" s="89">
        <v>9</v>
      </c>
      <c r="Q12" s="6">
        <v>9550.5048000000006</v>
      </c>
      <c r="R12" s="23">
        <v>7</v>
      </c>
      <c r="S12" s="27">
        <f>+Q12*$S$43</f>
        <v>6019.5955004852322</v>
      </c>
      <c r="T12" s="27">
        <f>+Q12-S12</f>
        <v>3530.9092995147685</v>
      </c>
      <c r="U12" s="27"/>
      <c r="V12" s="22">
        <f t="shared" si="0"/>
        <v>180.58786501455697</v>
      </c>
      <c r="X12" s="3">
        <v>460094</v>
      </c>
      <c r="Y12" s="27">
        <f t="shared" si="1"/>
        <v>-2628.06</v>
      </c>
      <c r="Z12" s="27">
        <f t="shared" si="2"/>
        <v>-2492.9777160000003</v>
      </c>
      <c r="AA12" s="27"/>
      <c r="AB12" s="7">
        <f>+BV_NA1_2022!T12</f>
        <v>0</v>
      </c>
      <c r="AC12" s="7">
        <f>+BV_NA1_2023!T12</f>
        <v>1629.3972000000001</v>
      </c>
      <c r="AE12" s="41">
        <f t="shared" si="7"/>
        <v>-3491.6405160000004</v>
      </c>
      <c r="AI12" s="43">
        <f t="shared" si="3"/>
        <v>-4.2858064516129037E-2</v>
      </c>
      <c r="AK12" s="42"/>
      <c r="AL12" s="10"/>
    </row>
    <row r="13" spans="1:38" ht="14.45" customHeight="1" x14ac:dyDescent="0.25">
      <c r="A13" s="102">
        <v>460136</v>
      </c>
      <c r="B13" s="27" t="s">
        <v>89</v>
      </c>
      <c r="D13" s="15">
        <f>+VLOOKUP(A13,'[2]2.2 BV'!$A$26:$E$54,5,0)</f>
        <v>135551.22</v>
      </c>
      <c r="F13" s="97">
        <v>530443</v>
      </c>
      <c r="G13" s="89">
        <v>9</v>
      </c>
      <c r="H13" s="27">
        <v>114413.38674000121</v>
      </c>
      <c r="I13" s="23">
        <v>8</v>
      </c>
      <c r="J13" s="1">
        <f>+H13*$J$42</f>
        <v>69648.669085763147</v>
      </c>
      <c r="K13" s="1">
        <f>+H13-J13</f>
        <v>44764.717654238062</v>
      </c>
      <c r="L13" s="27"/>
      <c r="M13" s="62">
        <f t="shared" si="5"/>
        <v>2089.4600725728942</v>
      </c>
      <c r="O13" s="97">
        <v>480203</v>
      </c>
      <c r="P13" s="89">
        <v>9</v>
      </c>
      <c r="Q13" s="6">
        <v>382772.43179999996</v>
      </c>
      <c r="R13" s="23">
        <v>8</v>
      </c>
      <c r="S13" s="27">
        <f t="shared" ref="S13:S15" si="8">+Q13*$S$43</f>
        <v>241257.94985968384</v>
      </c>
      <c r="T13" s="27">
        <f t="shared" ref="T13:T15" si="9">+Q13-S13</f>
        <v>141514.48194031612</v>
      </c>
      <c r="U13" s="27"/>
      <c r="V13" s="22">
        <f t="shared" si="0"/>
        <v>7237.7384957905151</v>
      </c>
      <c r="X13" s="96">
        <v>460136</v>
      </c>
      <c r="Y13" s="27">
        <f t="shared" si="1"/>
        <v>-4372.62</v>
      </c>
      <c r="Z13" s="27">
        <f t="shared" si="2"/>
        <v>-4147.8673319999998</v>
      </c>
      <c r="AA13" s="27"/>
      <c r="AB13" s="7">
        <f>+BV_NA1_2022!T13</f>
        <v>0</v>
      </c>
      <c r="AC13" s="7">
        <f>+BV_NA1_2023!T13</f>
        <v>2711.0244000000002</v>
      </c>
      <c r="AE13" s="41">
        <f t="shared" si="7"/>
        <v>-5809.4629320000004</v>
      </c>
      <c r="AI13" s="43">
        <f t="shared" si="3"/>
        <v>-4.2858064516129037E-2</v>
      </c>
      <c r="AK13" s="42"/>
      <c r="AL13" s="10"/>
    </row>
    <row r="14" spans="1:38" ht="14.45" customHeight="1" x14ac:dyDescent="0.25">
      <c r="A14" s="97">
        <v>470120</v>
      </c>
      <c r="B14" s="27" t="s">
        <v>90</v>
      </c>
      <c r="D14" s="15">
        <f>+VLOOKUP(A14,'[2]2.2 BV'!$A$26:$E$54,5,0)</f>
        <v>6104.5199999999995</v>
      </c>
      <c r="F14" s="97">
        <v>440006</v>
      </c>
      <c r="G14" s="89">
        <v>8</v>
      </c>
      <c r="H14" s="27">
        <v>34506.6</v>
      </c>
      <c r="I14" s="23">
        <v>9</v>
      </c>
      <c r="K14" s="1">
        <f>+H14*$K$42</f>
        <v>34362.42914910167</v>
      </c>
      <c r="L14" s="27">
        <f>+H14-K14</f>
        <v>144.17085089832835</v>
      </c>
      <c r="M14" s="62">
        <f t="shared" si="5"/>
        <v>-4.3251255269498508</v>
      </c>
      <c r="O14" s="97">
        <v>490200</v>
      </c>
      <c r="P14" s="89">
        <v>9</v>
      </c>
      <c r="Q14" s="6">
        <v>215065.89667620324</v>
      </c>
      <c r="R14" s="23">
        <v>9</v>
      </c>
      <c r="S14" s="27">
        <f t="shared" si="8"/>
        <v>135554.06034033874</v>
      </c>
      <c r="T14" s="27">
        <f t="shared" si="9"/>
        <v>79511.8363358645</v>
      </c>
      <c r="U14" s="27"/>
      <c r="V14" s="22">
        <f t="shared" si="0"/>
        <v>4066.621810210162</v>
      </c>
      <c r="X14" s="3">
        <v>470120</v>
      </c>
      <c r="Y14" s="27">
        <f t="shared" si="1"/>
        <v>-200.85839999999999</v>
      </c>
      <c r="Z14" s="27">
        <f t="shared" si="2"/>
        <v>-186.79831199999998</v>
      </c>
      <c r="AA14" s="27"/>
      <c r="AB14" s="7">
        <f>+BV_NA1_2022!T14</f>
        <v>131.28</v>
      </c>
      <c r="AC14" s="7">
        <f>+BV_NA1_2023!T14</f>
        <v>122.09039999999999</v>
      </c>
      <c r="AE14" s="41">
        <f t="shared" si="7"/>
        <v>-134.28631200000001</v>
      </c>
      <c r="AI14" s="43">
        <f t="shared" si="3"/>
        <v>-2.1997849462365594E-2</v>
      </c>
      <c r="AK14" s="42"/>
      <c r="AL14" s="10"/>
    </row>
    <row r="15" spans="1:38" x14ac:dyDescent="0.25">
      <c r="A15" s="97">
        <v>470131</v>
      </c>
      <c r="B15" s="27" t="s">
        <v>91</v>
      </c>
      <c r="D15" s="15">
        <f>+VLOOKUP(A15,'[2]2.2 BV'!$A$26:$E$54,5,0)</f>
        <v>214172.49</v>
      </c>
      <c r="F15" s="97">
        <v>470131</v>
      </c>
      <c r="G15" s="89">
        <v>8</v>
      </c>
      <c r="H15" s="27">
        <v>225687.14</v>
      </c>
      <c r="I15" s="23">
        <v>10</v>
      </c>
      <c r="K15" s="1">
        <f t="shared" ref="K15:K20" si="10">+H15*$K$42</f>
        <v>224744.20424247507</v>
      </c>
      <c r="L15" s="27">
        <f t="shared" ref="L15:L20" si="11">+H15-K15</f>
        <v>942.93575752494507</v>
      </c>
      <c r="M15" s="62">
        <f t="shared" si="5"/>
        <v>-28.28807272574835</v>
      </c>
      <c r="O15" s="97">
        <v>510259</v>
      </c>
      <c r="P15" s="89">
        <v>9</v>
      </c>
      <c r="Q15" s="6">
        <v>108631.82223000081</v>
      </c>
      <c r="R15" s="23">
        <v>10</v>
      </c>
      <c r="S15" s="27">
        <f t="shared" si="8"/>
        <v>68469.640296419137</v>
      </c>
      <c r="T15" s="27">
        <f t="shared" si="9"/>
        <v>40162.181933581669</v>
      </c>
      <c r="U15" s="27"/>
      <c r="V15" s="22">
        <f t="shared" si="0"/>
        <v>2054.0892088925739</v>
      </c>
      <c r="X15" s="3">
        <v>470131</v>
      </c>
      <c r="Y15" s="27">
        <f t="shared" si="1"/>
        <v>-28.28807272574835</v>
      </c>
      <c r="Z15" s="27">
        <f t="shared" si="2"/>
        <v>0</v>
      </c>
      <c r="AA15" s="27"/>
      <c r="AB15" s="7">
        <f>+BV_NA1_2022!T15</f>
        <v>-4605.8599999999997</v>
      </c>
      <c r="AC15" s="7">
        <f>+BV_NA1_2023!T15</f>
        <v>-4283.4498000000003</v>
      </c>
      <c r="AE15" s="41">
        <f t="shared" si="7"/>
        <v>-8917.5978727257479</v>
      </c>
      <c r="AI15" s="43">
        <f t="shared" si="3"/>
        <v>-4.1637457138989926E-2</v>
      </c>
      <c r="AK15" s="42"/>
      <c r="AL15" s="10"/>
    </row>
    <row r="16" spans="1:38" ht="14.45" customHeight="1" x14ac:dyDescent="0.25">
      <c r="A16" s="97">
        <v>470134</v>
      </c>
      <c r="B16" s="27" t="s">
        <v>92</v>
      </c>
      <c r="D16" s="15">
        <f>+VLOOKUP(A16,'[2]2.2 BV'!$A$26:$E$54,5,0)</f>
        <v>299076.98786999728</v>
      </c>
      <c r="F16" s="97">
        <v>470134</v>
      </c>
      <c r="G16" s="89">
        <v>8</v>
      </c>
      <c r="H16" s="27">
        <v>315156.39581999712</v>
      </c>
      <c r="I16" s="23">
        <v>11</v>
      </c>
      <c r="K16" s="1">
        <f t="shared" si="10"/>
        <v>313839.65161015262</v>
      </c>
      <c r="L16" s="27">
        <f t="shared" si="11"/>
        <v>1316.7442098445026</v>
      </c>
      <c r="M16" s="62">
        <f t="shared" si="5"/>
        <v>-39.502326295335074</v>
      </c>
      <c r="O16" s="97">
        <v>470131</v>
      </c>
      <c r="P16" s="89">
        <v>8</v>
      </c>
      <c r="Q16" s="6">
        <v>209889.04019999999</v>
      </c>
      <c r="R16" s="23">
        <v>11</v>
      </c>
      <c r="S16" s="27"/>
      <c r="T16" s="27">
        <f>+Q16</f>
        <v>209889.04019999999</v>
      </c>
      <c r="U16" s="27"/>
      <c r="V16" s="22">
        <f t="shared" si="0"/>
        <v>0</v>
      </c>
      <c r="X16" s="3">
        <v>470134</v>
      </c>
      <c r="Y16" s="27">
        <f t="shared" si="1"/>
        <v>-39.502326295335074</v>
      </c>
      <c r="Z16" s="27">
        <f t="shared" si="2"/>
        <v>-1088.5910383286482</v>
      </c>
      <c r="AA16" s="27"/>
      <c r="AB16" s="7">
        <f>+BV_NA1_2022!T16</f>
        <v>-6431.7631799999417</v>
      </c>
      <c r="AC16" s="7">
        <f>+BV_NA1_2023!T16</f>
        <v>-5981.5397573999453</v>
      </c>
      <c r="AE16" s="41">
        <f t="shared" si="7"/>
        <v>-13541.39630202387</v>
      </c>
      <c r="AI16" s="43">
        <f t="shared" si="3"/>
        <v>-4.5277292641151115E-2</v>
      </c>
      <c r="AK16" s="42"/>
      <c r="AL16" s="10"/>
    </row>
    <row r="17" spans="1:38" ht="14.45" customHeight="1" x14ac:dyDescent="0.25">
      <c r="A17" s="97">
        <v>470135</v>
      </c>
      <c r="B17" s="27" t="s">
        <v>93</v>
      </c>
      <c r="D17" s="15">
        <f>+VLOOKUP(A17,'[2]2.2 BV'!$A$26:$E$54,5,0)</f>
        <v>133360.11210000119</v>
      </c>
      <c r="F17" s="97">
        <v>480212</v>
      </c>
      <c r="G17" s="89">
        <v>8</v>
      </c>
      <c r="H17" s="27">
        <v>49521</v>
      </c>
      <c r="I17" s="23">
        <v>12</v>
      </c>
      <c r="K17" s="1">
        <f t="shared" si="10"/>
        <v>49314.097995533142</v>
      </c>
      <c r="L17" s="27">
        <f t="shared" si="11"/>
        <v>206.90200446685776</v>
      </c>
      <c r="M17" s="62">
        <f t="shared" si="5"/>
        <v>-6.207060134005733</v>
      </c>
      <c r="O17" s="97">
        <v>480212</v>
      </c>
      <c r="P17" s="89">
        <v>8</v>
      </c>
      <c r="Q17" s="6">
        <v>46054.53</v>
      </c>
      <c r="R17" s="23">
        <v>12</v>
      </c>
      <c r="S17" s="27"/>
      <c r="T17" s="27">
        <f t="shared" ref="T17:T18" si="12">+Q17</f>
        <v>46054.53</v>
      </c>
      <c r="U17" s="27"/>
      <c r="V17" s="22">
        <f t="shared" si="0"/>
        <v>0</v>
      </c>
      <c r="X17" s="3">
        <v>470135</v>
      </c>
      <c r="Y17" s="27">
        <f t="shared" si="1"/>
        <v>-4387.9778820000392</v>
      </c>
      <c r="Z17" s="27">
        <f t="shared" si="2"/>
        <v>-4000.8033630000355</v>
      </c>
      <c r="AA17" s="27"/>
      <c r="AB17" s="7">
        <f>+BV_NA1_2022!T17</f>
        <v>2867.9594000000257</v>
      </c>
      <c r="AC17" s="7">
        <f>+BV_NA1_2023!T17</f>
        <v>0</v>
      </c>
      <c r="AE17" s="41">
        <f t="shared" si="7"/>
        <v>-5520.8218450000495</v>
      </c>
      <c r="AI17" s="43">
        <f t="shared" si="3"/>
        <v>-4.1397849462365591E-2</v>
      </c>
      <c r="AK17" s="42"/>
      <c r="AL17" s="10"/>
    </row>
    <row r="18" spans="1:38" ht="14.45" customHeight="1" x14ac:dyDescent="0.25">
      <c r="A18" s="97">
        <v>480203</v>
      </c>
      <c r="B18" s="27" t="s">
        <v>94</v>
      </c>
      <c r="D18" s="15">
        <f>+VLOOKUP(A18,'[2]2.2 BV'!$A$26:$E$54,5,0)</f>
        <v>375267.08999999997</v>
      </c>
      <c r="F18" s="97">
        <v>490199</v>
      </c>
      <c r="G18" s="89">
        <v>8</v>
      </c>
      <c r="H18" s="27">
        <v>681091.8307199796</v>
      </c>
      <c r="I18" s="23">
        <v>13</v>
      </c>
      <c r="K18" s="1">
        <f t="shared" si="10"/>
        <v>678246.18412556581</v>
      </c>
      <c r="L18" s="27">
        <f t="shared" si="11"/>
        <v>2845.646594413789</v>
      </c>
      <c r="M18" s="62">
        <f t="shared" si="5"/>
        <v>-85.369397832413668</v>
      </c>
      <c r="O18" s="97" t="s">
        <v>107</v>
      </c>
      <c r="P18" s="89">
        <v>8</v>
      </c>
      <c r="Q18" s="6">
        <v>94958.654399999985</v>
      </c>
      <c r="R18" s="23">
        <v>13</v>
      </c>
      <c r="S18" s="27"/>
      <c r="T18" s="27">
        <f t="shared" si="12"/>
        <v>94958.654399999985</v>
      </c>
      <c r="U18" s="27"/>
      <c r="V18" s="22">
        <f t="shared" si="0"/>
        <v>0</v>
      </c>
      <c r="X18" s="3">
        <v>480203</v>
      </c>
      <c r="Y18" s="27">
        <f t="shared" si="1"/>
        <v>12347.497799999999</v>
      </c>
      <c r="Z18" s="27">
        <f t="shared" si="2"/>
        <v>7237.7384957905151</v>
      </c>
      <c r="AA18" s="27"/>
      <c r="AB18" s="7">
        <f>+BV_NA1_2022!T18</f>
        <v>8070.26</v>
      </c>
      <c r="AC18" s="7">
        <f>+BV_NA1_2023!T18</f>
        <v>7505.3417999999992</v>
      </c>
      <c r="AE18" s="41">
        <f t="shared" si="7"/>
        <v>35160.838095790517</v>
      </c>
      <c r="AI18" s="43">
        <f t="shared" si="3"/>
        <v>9.3695501238306084E-2</v>
      </c>
      <c r="AK18" s="42"/>
      <c r="AL18" s="10"/>
    </row>
    <row r="19" spans="1:38" ht="14.45" customHeight="1" x14ac:dyDescent="0.25">
      <c r="A19" s="97">
        <v>480212</v>
      </c>
      <c r="B19" s="27" t="s">
        <v>79</v>
      </c>
      <c r="D19" s="15">
        <f>+VLOOKUP(A19,'[2]2.2 BV'!$A$26:$E$54,5,0)</f>
        <v>46054.53</v>
      </c>
      <c r="F19" s="97">
        <v>490200</v>
      </c>
      <c r="G19" s="89">
        <v>8</v>
      </c>
      <c r="H19" s="27">
        <v>228638.94700000342</v>
      </c>
      <c r="I19" s="23">
        <v>14</v>
      </c>
      <c r="K19" s="1">
        <f t="shared" si="10"/>
        <v>227683.67839812758</v>
      </c>
      <c r="L19" s="27">
        <f t="shared" si="11"/>
        <v>955.26860187583952</v>
      </c>
      <c r="M19" s="62">
        <f t="shared" si="5"/>
        <v>-28.658058056275184</v>
      </c>
      <c r="O19" s="97">
        <v>450064</v>
      </c>
      <c r="P19" s="89">
        <v>7</v>
      </c>
      <c r="Q19" s="6">
        <v>15099.8148</v>
      </c>
      <c r="R19" s="23">
        <v>14</v>
      </c>
      <c r="S19" s="27"/>
      <c r="T19" s="27">
        <f>+Q19*$T$43</f>
        <v>13230.398405949014</v>
      </c>
      <c r="U19" s="27">
        <f>+Q19-T19</f>
        <v>1869.4163940509861</v>
      </c>
      <c r="V19" s="22">
        <f t="shared" si="0"/>
        <v>-56.08249182152958</v>
      </c>
      <c r="X19" s="3">
        <v>480212</v>
      </c>
      <c r="Y19" s="27">
        <f t="shared" si="1"/>
        <v>-6.207060134005733</v>
      </c>
      <c r="Z19" s="27">
        <f t="shared" si="2"/>
        <v>0</v>
      </c>
      <c r="AA19" s="27"/>
      <c r="AB19" s="7">
        <f>+BV_NA1_2022!T19</f>
        <v>0</v>
      </c>
      <c r="AC19" s="7">
        <f>+BV_NA1_2023!T19</f>
        <v>0</v>
      </c>
      <c r="AE19" s="41">
        <f t="shared" si="7"/>
        <v>-6.207060134005733</v>
      </c>
      <c r="AI19" s="43">
        <f t="shared" si="3"/>
        <v>-1.3477632133051263E-4</v>
      </c>
      <c r="AK19" s="42"/>
      <c r="AL19" s="10"/>
    </row>
    <row r="20" spans="1:38" ht="14.45" customHeight="1" x14ac:dyDescent="0.25">
      <c r="A20" s="97">
        <v>490199</v>
      </c>
      <c r="B20" s="27" t="s">
        <v>95</v>
      </c>
      <c r="D20" s="15">
        <f>+VLOOKUP(A20,'[2]2.2 BV'!$A$26:$E$54,5,0)</f>
        <v>646342.24751998053</v>
      </c>
      <c r="F20" s="97">
        <v>530337</v>
      </c>
      <c r="G20" s="89">
        <v>8</v>
      </c>
      <c r="H20" s="27">
        <v>118067.04</v>
      </c>
      <c r="I20" s="23">
        <v>15</v>
      </c>
      <c r="K20" s="1">
        <f t="shared" si="10"/>
        <v>117573.74811903093</v>
      </c>
      <c r="L20" s="27">
        <f t="shared" si="11"/>
        <v>493.29188096906</v>
      </c>
      <c r="M20" s="62">
        <f t="shared" si="5"/>
        <v>-14.798756429071799</v>
      </c>
      <c r="O20" s="97">
        <v>470134</v>
      </c>
      <c r="P20" s="89">
        <v>7</v>
      </c>
      <c r="Q20" s="6">
        <v>293095.44811259734</v>
      </c>
      <c r="R20" s="23">
        <v>15</v>
      </c>
      <c r="S20" s="27"/>
      <c r="T20" s="27">
        <f t="shared" ref="T20:T23" si="13">+Q20*$T$43</f>
        <v>256809.08016830907</v>
      </c>
      <c r="U20" s="27">
        <f t="shared" ref="U20:U23" si="14">+Q20-T20</f>
        <v>36286.367944288271</v>
      </c>
      <c r="V20" s="22">
        <f t="shared" si="0"/>
        <v>-1088.5910383286482</v>
      </c>
      <c r="X20" s="3">
        <v>490199</v>
      </c>
      <c r="Y20" s="27">
        <f t="shared" si="1"/>
        <v>-85.369397832413668</v>
      </c>
      <c r="Z20" s="27">
        <f t="shared" si="2"/>
        <v>-2352.5794590698811</v>
      </c>
      <c r="AA20" s="27"/>
      <c r="AB20" s="7">
        <f>+BV_NA1_2022!T20</f>
        <v>-13899.833279999584</v>
      </c>
      <c r="AC20" s="7">
        <f>+BV_NA1_2023!T20</f>
        <v>-12926.844950399611</v>
      </c>
      <c r="AE20" s="41">
        <f t="shared" si="7"/>
        <v>-29264.627087301487</v>
      </c>
      <c r="AI20" s="43">
        <f t="shared" si="3"/>
        <v>-4.5277292641151115E-2</v>
      </c>
      <c r="AK20" s="42"/>
      <c r="AL20" s="10"/>
    </row>
    <row r="21" spans="1:38" ht="14.45" customHeight="1" x14ac:dyDescent="0.25">
      <c r="A21" s="97">
        <v>490200</v>
      </c>
      <c r="B21" s="27" t="s">
        <v>96</v>
      </c>
      <c r="D21" s="15">
        <f>+VLOOKUP(A21,'[2]2.2 BV'!$A$26:$E$54,5,0)</f>
        <v>210848.91831000318</v>
      </c>
      <c r="F21" s="97">
        <v>450064</v>
      </c>
      <c r="G21" s="89">
        <v>7</v>
      </c>
      <c r="H21" s="27">
        <v>16236.36</v>
      </c>
      <c r="I21" s="23">
        <v>16</v>
      </c>
      <c r="L21" s="1">
        <f>+H21</f>
        <v>16236.36</v>
      </c>
      <c r="M21" s="62">
        <f t="shared" si="5"/>
        <v>-487.0908</v>
      </c>
      <c r="O21" s="97">
        <v>490199</v>
      </c>
      <c r="P21" s="89">
        <v>7</v>
      </c>
      <c r="Q21" s="6">
        <v>633415.40256958094</v>
      </c>
      <c r="R21" s="23">
        <v>16</v>
      </c>
      <c r="S21" s="27"/>
      <c r="T21" s="27">
        <f t="shared" si="13"/>
        <v>554996.08726725157</v>
      </c>
      <c r="U21" s="27">
        <f t="shared" si="14"/>
        <v>78419.315302329371</v>
      </c>
      <c r="V21" s="22">
        <f t="shared" si="0"/>
        <v>-2352.5794590698811</v>
      </c>
      <c r="X21" s="3">
        <v>490200</v>
      </c>
      <c r="Y21" s="27">
        <f t="shared" si="1"/>
        <v>-28.658058056275184</v>
      </c>
      <c r="Z21" s="27">
        <f t="shared" si="2"/>
        <v>4066.621810210162</v>
      </c>
      <c r="AA21" s="27"/>
      <c r="AB21" s="7">
        <f>+BV_NA1_2022!T21</f>
        <v>1919.68</v>
      </c>
      <c r="AC21" s="7">
        <f>+BV_NA1_2023!T21</f>
        <v>4216.9783662000636</v>
      </c>
      <c r="AE21" s="41">
        <f t="shared" si="7"/>
        <v>10174.622118353951</v>
      </c>
      <c r="AI21" s="43">
        <f t="shared" si="3"/>
        <v>4.825551015345779E-2</v>
      </c>
      <c r="AK21" s="42"/>
      <c r="AL21" s="10"/>
    </row>
    <row r="22" spans="1:38" ht="14.45" customHeight="1" x14ac:dyDescent="0.25">
      <c r="A22" s="97">
        <v>500267</v>
      </c>
      <c r="B22" s="27" t="s">
        <v>97</v>
      </c>
      <c r="D22" s="15">
        <f>+VLOOKUP(A22,'[2]2.2 BV'!$A$26:$E$54,5,0)</f>
        <v>117166.98</v>
      </c>
      <c r="F22" s="102">
        <v>460136</v>
      </c>
      <c r="G22" s="89">
        <v>7</v>
      </c>
      <c r="H22" s="27">
        <v>145754</v>
      </c>
      <c r="I22" s="23">
        <v>17</v>
      </c>
      <c r="L22" s="1">
        <f t="shared" ref="L22:L33" si="15">+H22</f>
        <v>145754</v>
      </c>
      <c r="M22" s="62">
        <f t="shared" si="5"/>
        <v>-4372.62</v>
      </c>
      <c r="O22" s="97">
        <v>530337</v>
      </c>
      <c r="P22" s="89">
        <v>7</v>
      </c>
      <c r="Q22" s="6">
        <v>107649.35999999999</v>
      </c>
      <c r="R22" s="23">
        <v>17</v>
      </c>
      <c r="S22" s="27"/>
      <c r="T22" s="27">
        <f t="shared" si="13"/>
        <v>94321.946315886686</v>
      </c>
      <c r="U22" s="27">
        <f t="shared" si="14"/>
        <v>13327.4136841133</v>
      </c>
      <c r="V22" s="22">
        <f t="shared" si="0"/>
        <v>-399.82241052339901</v>
      </c>
      <c r="X22" s="3">
        <v>500267</v>
      </c>
      <c r="Y22" s="27">
        <f t="shared" si="1"/>
        <v>3703.9883999999997</v>
      </c>
      <c r="Z22" s="27">
        <f t="shared" si="2"/>
        <v>3444.7092119999998</v>
      </c>
      <c r="AA22" s="27"/>
      <c r="AB22" s="7">
        <f>+BV_NA1_2022!T22</f>
        <v>-2519.7200000000003</v>
      </c>
      <c r="AC22" s="7">
        <f>+BV_NA1_2023!T22</f>
        <v>-2343.3395999999998</v>
      </c>
      <c r="AE22" s="41">
        <f t="shared" si="7"/>
        <v>2285.6380119999999</v>
      </c>
      <c r="AI22" s="43">
        <f t="shared" si="3"/>
        <v>1.950752688172043E-2</v>
      </c>
      <c r="AK22" s="42"/>
      <c r="AL22" s="10"/>
    </row>
    <row r="23" spans="1:38" ht="14.45" customHeight="1" x14ac:dyDescent="0.25">
      <c r="A23" s="97">
        <v>510259</v>
      </c>
      <c r="B23" s="27" t="s">
        <v>98</v>
      </c>
      <c r="D23" s="15">
        <f>+VLOOKUP(A23,'[2]2.2 BV'!$A$26:$E$54,5,0)</f>
        <v>106501.78650000079</v>
      </c>
      <c r="F23" s="97">
        <v>470135</v>
      </c>
      <c r="G23" s="89">
        <v>7</v>
      </c>
      <c r="H23" s="27">
        <v>146265.9294000013</v>
      </c>
      <c r="I23" s="23">
        <v>18</v>
      </c>
      <c r="L23" s="1">
        <f t="shared" si="15"/>
        <v>146265.9294000013</v>
      </c>
      <c r="M23" s="62">
        <f t="shared" si="5"/>
        <v>-4387.9778820000392</v>
      </c>
      <c r="O23" s="97">
        <v>530443</v>
      </c>
      <c r="P23" s="89">
        <v>7</v>
      </c>
      <c r="Q23" s="6">
        <v>102231.72615180108</v>
      </c>
      <c r="R23" s="23">
        <v>18</v>
      </c>
      <c r="S23" s="27"/>
      <c r="T23" s="27">
        <f t="shared" si="13"/>
        <v>89575.036822054608</v>
      </c>
      <c r="U23" s="27">
        <f t="shared" si="14"/>
        <v>12656.68932974647</v>
      </c>
      <c r="V23" s="22">
        <f t="shared" si="0"/>
        <v>-379.70067989239408</v>
      </c>
      <c r="X23" s="3">
        <v>510259</v>
      </c>
      <c r="Y23" s="27">
        <f t="shared" si="1"/>
        <v>2133.1989016269176</v>
      </c>
      <c r="Z23" s="27">
        <f t="shared" si="2"/>
        <v>2054.0892088925739</v>
      </c>
      <c r="AA23" s="27"/>
      <c r="AB23" s="7">
        <f>+BV_NA1_2022!T23</f>
        <v>2290.3610000000172</v>
      </c>
      <c r="AC23" s="7">
        <f>+BV_NA1_2023!T23</f>
        <v>2130.035730000016</v>
      </c>
      <c r="AE23" s="41">
        <f t="shared" si="7"/>
        <v>8607.6848405195251</v>
      </c>
      <c r="AI23" s="43">
        <f t="shared" si="3"/>
        <v>8.0821976075673263E-2</v>
      </c>
      <c r="AK23" s="42"/>
      <c r="AL23" s="10"/>
    </row>
    <row r="24" spans="1:38" ht="14.45" customHeight="1" x14ac:dyDescent="0.25">
      <c r="A24" s="97">
        <v>510260</v>
      </c>
      <c r="B24" s="27" t="s">
        <v>99</v>
      </c>
      <c r="D24" s="15">
        <f>+VLOOKUP(A24,'[2]2.2 BV'!$A$26:$E$54,5,0)</f>
        <v>54996.114510000094</v>
      </c>
      <c r="F24" s="97">
        <v>520307</v>
      </c>
      <c r="G24" s="89">
        <v>7</v>
      </c>
      <c r="H24" s="27">
        <v>27712.05360000005</v>
      </c>
      <c r="I24" s="23">
        <v>19</v>
      </c>
      <c r="L24" s="1">
        <f t="shared" si="15"/>
        <v>27712.05360000005</v>
      </c>
      <c r="M24" s="62">
        <f t="shared" si="5"/>
        <v>-831.36160800000152</v>
      </c>
      <c r="O24" s="97">
        <v>450046</v>
      </c>
      <c r="P24" s="89">
        <v>6</v>
      </c>
      <c r="Q24" s="6">
        <v>75130.078085999994</v>
      </c>
      <c r="R24" s="23">
        <v>19</v>
      </c>
      <c r="S24" s="27"/>
      <c r="T24" s="27"/>
      <c r="U24" s="27">
        <f>+Q24</f>
        <v>75130.078085999994</v>
      </c>
      <c r="V24" s="22">
        <f t="shared" si="0"/>
        <v>-2253.9023425799996</v>
      </c>
      <c r="X24" s="3">
        <v>510260</v>
      </c>
      <c r="Y24" s="27">
        <f t="shared" si="1"/>
        <v>-1809.5495742000032</v>
      </c>
      <c r="Z24" s="27">
        <f t="shared" si="2"/>
        <v>-1682.8811040060029</v>
      </c>
      <c r="AA24" s="27"/>
      <c r="AB24" s="7">
        <f>+BV_NA1_2022!T24</f>
        <v>1182.7121400000021</v>
      </c>
      <c r="AC24" s="7">
        <f>+BV_NA1_2023!T24</f>
        <v>1099.922290200002</v>
      </c>
      <c r="AE24" s="41">
        <f t="shared" si="7"/>
        <v>-1209.7962480060023</v>
      </c>
      <c r="AI24" s="43">
        <f t="shared" si="3"/>
        <v>-2.1997849462365597E-2</v>
      </c>
      <c r="AK24" s="42"/>
      <c r="AL24" s="10"/>
    </row>
    <row r="25" spans="1:38" ht="14.45" customHeight="1" x14ac:dyDescent="0.25">
      <c r="A25" s="97">
        <v>520307</v>
      </c>
      <c r="B25" s="27" t="s">
        <v>80</v>
      </c>
      <c r="D25" s="15">
        <f>+VLOOKUP(A25,'[2]2.2 BV'!$A$26:$E$54,5,0)</f>
        <v>25266.872400000044</v>
      </c>
      <c r="F25" s="97">
        <v>450046</v>
      </c>
      <c r="G25" s="89">
        <v>5</v>
      </c>
      <c r="H25" s="27">
        <v>80785.030200000008</v>
      </c>
      <c r="I25" s="23">
        <v>20</v>
      </c>
      <c r="L25" s="1">
        <f t="shared" si="15"/>
        <v>80785.030200000008</v>
      </c>
      <c r="M25" s="62">
        <f t="shared" si="5"/>
        <v>-2423.5509059999999</v>
      </c>
      <c r="O25" s="102">
        <v>460136</v>
      </c>
      <c r="P25" s="89">
        <v>6</v>
      </c>
      <c r="Q25" s="6">
        <v>138262.2444</v>
      </c>
      <c r="R25" s="23">
        <v>20</v>
      </c>
      <c r="S25" s="27"/>
      <c r="T25" s="27"/>
      <c r="U25" s="27">
        <f t="shared" ref="U25:U33" si="16">+Q25</f>
        <v>138262.2444</v>
      </c>
      <c r="V25" s="22">
        <f t="shared" si="0"/>
        <v>-4147.8673319999998</v>
      </c>
      <c r="X25" s="3">
        <v>520307</v>
      </c>
      <c r="Y25" s="27">
        <f t="shared" si="1"/>
        <v>-831.36160800000152</v>
      </c>
      <c r="Z25" s="27">
        <f t="shared" si="2"/>
        <v>-773.16629544000136</v>
      </c>
      <c r="AA25" s="27"/>
      <c r="AB25" s="7">
        <f>+BV_NA1_2022!T25</f>
        <v>543.37360000000092</v>
      </c>
      <c r="AC25" s="7">
        <f>+BV_NA1_2023!T25</f>
        <v>505.3374480000009</v>
      </c>
      <c r="AE25" s="41">
        <f t="shared" si="7"/>
        <v>-555.81685544000106</v>
      </c>
      <c r="AI25" s="43">
        <f t="shared" si="3"/>
        <v>-2.1997849462365594E-2</v>
      </c>
      <c r="AK25" s="42"/>
      <c r="AL25" s="10"/>
    </row>
    <row r="26" spans="1:38" ht="14.45" customHeight="1" x14ac:dyDescent="0.25">
      <c r="A26" s="97">
        <v>520313</v>
      </c>
      <c r="B26" s="27" t="s">
        <v>100</v>
      </c>
      <c r="D26" s="15">
        <f>+VLOOKUP(A26,'[2]2.2 BV'!$A$26:$E$54,5,0)</f>
        <v>101515.07999999999</v>
      </c>
      <c r="F26" s="97" t="s">
        <v>107</v>
      </c>
      <c r="G26" s="89">
        <v>5</v>
      </c>
      <c r="H26" s="27">
        <v>102106.08</v>
      </c>
      <c r="I26" s="23">
        <v>21</v>
      </c>
      <c r="L26" s="1">
        <f t="shared" si="15"/>
        <v>102106.08</v>
      </c>
      <c r="M26" s="62">
        <f t="shared" si="5"/>
        <v>-3063.1824000000001</v>
      </c>
      <c r="O26" s="97">
        <v>470135</v>
      </c>
      <c r="P26" s="89">
        <v>6</v>
      </c>
      <c r="Q26" s="6">
        <v>133360.11210000119</v>
      </c>
      <c r="R26" s="23">
        <v>21</v>
      </c>
      <c r="S26" s="27"/>
      <c r="T26" s="27"/>
      <c r="U26" s="27">
        <f t="shared" si="16"/>
        <v>133360.11210000119</v>
      </c>
      <c r="V26" s="22">
        <f t="shared" si="0"/>
        <v>-4000.8033630000355</v>
      </c>
      <c r="X26" s="3">
        <v>520313</v>
      </c>
      <c r="Y26" s="27">
        <f t="shared" si="1"/>
        <v>-3340.1735999999996</v>
      </c>
      <c r="Z26" s="27">
        <f t="shared" si="2"/>
        <v>-3106.3614479999997</v>
      </c>
      <c r="AA26" s="27"/>
      <c r="AB26" s="7">
        <f>+BV_NA1_2022!T26</f>
        <v>2183.12</v>
      </c>
      <c r="AC26" s="7">
        <f>+BV_NA1_2023!T26</f>
        <v>2030.3015999999998</v>
      </c>
      <c r="AE26" s="41">
        <f t="shared" si="7"/>
        <v>-2233.1134480000001</v>
      </c>
      <c r="AI26" s="43">
        <f t="shared" si="3"/>
        <v>-2.1997849462365594E-2</v>
      </c>
      <c r="AK26" s="42"/>
      <c r="AL26" s="10"/>
    </row>
    <row r="27" spans="1:38" ht="14.45" customHeight="1" x14ac:dyDescent="0.25">
      <c r="A27" s="97">
        <v>530337</v>
      </c>
      <c r="B27" s="27" t="s">
        <v>81</v>
      </c>
      <c r="D27" s="15">
        <f>+VLOOKUP(A27,'[2]2.2 BV'!$A$26:$E$54,5,0)</f>
        <v>107649.35999999999</v>
      </c>
      <c r="F27" s="97">
        <v>520313</v>
      </c>
      <c r="G27" s="89">
        <v>4</v>
      </c>
      <c r="H27" s="27">
        <v>111339.12</v>
      </c>
      <c r="I27" s="23">
        <v>22</v>
      </c>
      <c r="L27" s="1">
        <f t="shared" si="15"/>
        <v>111339.12</v>
      </c>
      <c r="M27" s="62">
        <f t="shared" si="5"/>
        <v>-3340.1735999999996</v>
      </c>
      <c r="O27" s="97">
        <v>520307</v>
      </c>
      <c r="P27" s="89">
        <v>6</v>
      </c>
      <c r="Q27" s="6">
        <v>25772.209848000046</v>
      </c>
      <c r="R27" s="23">
        <v>22</v>
      </c>
      <c r="S27" s="27"/>
      <c r="T27" s="27"/>
      <c r="U27" s="27">
        <f t="shared" si="16"/>
        <v>25772.209848000046</v>
      </c>
      <c r="V27" s="22">
        <f t="shared" si="0"/>
        <v>-773.16629544000136</v>
      </c>
      <c r="X27" s="3">
        <v>530337</v>
      </c>
      <c r="Y27" s="27">
        <f t="shared" si="1"/>
        <v>-14.798756429071799</v>
      </c>
      <c r="Z27" s="27">
        <f t="shared" si="2"/>
        <v>-399.82241052339901</v>
      </c>
      <c r="AA27" s="27"/>
      <c r="AB27" s="7">
        <f>+BV_NA1_2022!T27</f>
        <v>2315.04</v>
      </c>
      <c r="AC27" s="7">
        <f>+BV_NA1_2023!T27</f>
        <v>0</v>
      </c>
      <c r="AE27" s="41">
        <f t="shared" si="7"/>
        <v>1900.4188330475292</v>
      </c>
      <c r="AI27" s="43">
        <f t="shared" si="3"/>
        <v>1.7653786636980744E-2</v>
      </c>
      <c r="AK27" s="42"/>
      <c r="AL27" s="10"/>
    </row>
    <row r="28" spans="1:38" ht="14.45" customHeight="1" x14ac:dyDescent="0.25">
      <c r="A28" s="97">
        <v>530432</v>
      </c>
      <c r="B28" s="27" t="s">
        <v>101</v>
      </c>
      <c r="D28" s="15">
        <f>+VLOOKUP(A28,'[2]2.2 BV'!$A$26:$E$54,5,0)</f>
        <v>560526.1720199897</v>
      </c>
      <c r="F28" s="97">
        <v>460094</v>
      </c>
      <c r="G28" s="89">
        <v>3</v>
      </c>
      <c r="H28" s="27">
        <v>87602</v>
      </c>
      <c r="I28" s="23">
        <v>23</v>
      </c>
      <c r="L28" s="1">
        <f t="shared" si="15"/>
        <v>87602</v>
      </c>
      <c r="M28" s="62">
        <f t="shared" si="5"/>
        <v>-2628.06</v>
      </c>
      <c r="O28" s="97">
        <v>510260</v>
      </c>
      <c r="P28" s="89">
        <v>5</v>
      </c>
      <c r="Q28" s="6">
        <v>56096.036800200098</v>
      </c>
      <c r="R28" s="23">
        <v>23</v>
      </c>
      <c r="S28" s="27"/>
      <c r="T28" s="27"/>
      <c r="U28" s="27">
        <f t="shared" si="16"/>
        <v>56096.036800200098</v>
      </c>
      <c r="V28" s="22">
        <f t="shared" si="0"/>
        <v>-1682.8811040060029</v>
      </c>
      <c r="X28" s="3">
        <v>530432</v>
      </c>
      <c r="Y28" s="27">
        <f t="shared" si="1"/>
        <v>17937.301431599677</v>
      </c>
      <c r="Z28" s="27">
        <f t="shared" si="2"/>
        <v>16815.785160599691</v>
      </c>
      <c r="AA28" s="27"/>
      <c r="AB28" s="7">
        <f>+BV_NA1_2022!T28</f>
        <v>-4806.2662799997788</v>
      </c>
      <c r="AC28" s="7">
        <f>+BV_NA1_2023!T28</f>
        <v>0</v>
      </c>
      <c r="AE28" s="41">
        <f t="shared" si="7"/>
        <v>29946.82031219959</v>
      </c>
      <c r="AI28" s="43">
        <f t="shared" si="3"/>
        <v>5.3426265903479729E-2</v>
      </c>
      <c r="AK28" s="42"/>
      <c r="AL28" s="10"/>
    </row>
    <row r="29" spans="1:38" ht="14.45" customHeight="1" x14ac:dyDescent="0.25">
      <c r="A29" s="97">
        <v>530433</v>
      </c>
      <c r="B29" s="27" t="s">
        <v>102</v>
      </c>
      <c r="D29" s="15">
        <f>+VLOOKUP(A29,'[2]2.2 BV'!$A$26:$E$54,5,0)</f>
        <v>100000</v>
      </c>
      <c r="F29" s="97">
        <v>510260</v>
      </c>
      <c r="G29" s="89">
        <v>3</v>
      </c>
      <c r="H29" s="27">
        <v>60318.319140000109</v>
      </c>
      <c r="I29" s="23">
        <v>24</v>
      </c>
      <c r="L29" s="1">
        <f t="shared" si="15"/>
        <v>60318.319140000109</v>
      </c>
      <c r="M29" s="62">
        <f t="shared" si="5"/>
        <v>-1809.5495742000032</v>
      </c>
      <c r="O29" s="97">
        <v>520313</v>
      </c>
      <c r="P29" s="89">
        <v>5</v>
      </c>
      <c r="Q29" s="6">
        <v>103545.38159999999</v>
      </c>
      <c r="R29" s="23">
        <v>24</v>
      </c>
      <c r="S29" s="27"/>
      <c r="T29" s="27"/>
      <c r="U29" s="27">
        <f t="shared" si="16"/>
        <v>103545.38159999999</v>
      </c>
      <c r="V29" s="22">
        <f t="shared" si="0"/>
        <v>-3106.3614479999997</v>
      </c>
      <c r="X29" s="3">
        <v>530433</v>
      </c>
      <c r="Y29" s="27">
        <f t="shared" si="1"/>
        <v>2271.63</v>
      </c>
      <c r="Z29" s="27">
        <f t="shared" si="2"/>
        <v>3034.2520199999999</v>
      </c>
      <c r="AA29" s="27"/>
      <c r="AB29" s="7">
        <f>+BV_NA1_2022!T29</f>
        <v>0</v>
      </c>
      <c r="AC29" s="7">
        <f>+BV_NA1_2023!T29</f>
        <v>1141.7339999999999</v>
      </c>
      <c r="AE29" s="41">
        <f t="shared" si="7"/>
        <v>6447.6160199999995</v>
      </c>
      <c r="AI29" s="43">
        <f t="shared" si="3"/>
        <v>6.4476160199999993E-2</v>
      </c>
      <c r="AK29" s="42"/>
      <c r="AL29" s="10"/>
    </row>
    <row r="30" spans="1:38" ht="14.45" customHeight="1" x14ac:dyDescent="0.25">
      <c r="A30" s="97">
        <v>530434</v>
      </c>
      <c r="B30" s="27" t="s">
        <v>103</v>
      </c>
      <c r="D30" s="15">
        <f>+VLOOKUP(A30,'[2]2.2 BV'!$A$26:$E$54,5,0)</f>
        <v>575016.21</v>
      </c>
      <c r="F30" s="97" t="s">
        <v>105</v>
      </c>
      <c r="G30" s="89">
        <v>3</v>
      </c>
      <c r="H30" s="27">
        <v>315945</v>
      </c>
      <c r="I30" s="23">
        <v>25</v>
      </c>
      <c r="L30" s="1">
        <f t="shared" si="15"/>
        <v>315945</v>
      </c>
      <c r="M30" s="62">
        <f t="shared" si="5"/>
        <v>-9478.35</v>
      </c>
      <c r="O30" s="97">
        <v>530434</v>
      </c>
      <c r="P30" s="89">
        <v>4</v>
      </c>
      <c r="Q30" s="6">
        <v>575016.21</v>
      </c>
      <c r="R30" s="23">
        <v>25</v>
      </c>
      <c r="S30" s="27"/>
      <c r="T30" s="27"/>
      <c r="U30" s="27">
        <f t="shared" si="16"/>
        <v>575016.21</v>
      </c>
      <c r="V30" s="22">
        <f t="shared" si="0"/>
        <v>-17250.486299999997</v>
      </c>
      <c r="X30" s="3">
        <v>530434</v>
      </c>
      <c r="Y30" s="27">
        <f t="shared" si="1"/>
        <v>-18548.91</v>
      </c>
      <c r="Z30" s="27">
        <f t="shared" si="2"/>
        <v>-17250.486299999997</v>
      </c>
      <c r="AA30" s="27"/>
      <c r="AB30" s="7">
        <f>+BV_NA1_2022!T30</f>
        <v>0</v>
      </c>
      <c r="AC30" s="7">
        <f>+BV_NA1_2023!T30</f>
        <v>0</v>
      </c>
      <c r="AE30" s="41">
        <f t="shared" si="7"/>
        <v>-35799.396299999993</v>
      </c>
      <c r="AI30" s="43">
        <f t="shared" si="3"/>
        <v>-6.2258064516129023E-2</v>
      </c>
      <c r="AK30" s="42"/>
      <c r="AL30" s="10"/>
    </row>
    <row r="31" spans="1:38" ht="14.45" customHeight="1" x14ac:dyDescent="0.25">
      <c r="A31" s="97">
        <v>530443</v>
      </c>
      <c r="B31" s="27" t="s">
        <v>104</v>
      </c>
      <c r="D31" s="15">
        <f>+VLOOKUP(A31,'[2]2.2 BV'!$A$26:$E$54,5,0)</f>
        <v>104318.08791000109</v>
      </c>
      <c r="F31" s="97">
        <v>470120</v>
      </c>
      <c r="G31" s="89">
        <v>2</v>
      </c>
      <c r="H31" s="27">
        <v>6695.28</v>
      </c>
      <c r="I31" s="23">
        <v>26</v>
      </c>
      <c r="L31" s="1">
        <f t="shared" si="15"/>
        <v>6695.28</v>
      </c>
      <c r="M31" s="62">
        <f t="shared" si="5"/>
        <v>-200.85839999999999</v>
      </c>
      <c r="O31" s="97" t="s">
        <v>105</v>
      </c>
      <c r="P31" s="89">
        <v>3</v>
      </c>
      <c r="Q31" s="6">
        <v>285486.84000000003</v>
      </c>
      <c r="R31" s="23">
        <v>26</v>
      </c>
      <c r="S31" s="27"/>
      <c r="T31" s="27"/>
      <c r="U31" s="27">
        <f t="shared" si="16"/>
        <v>285486.84000000003</v>
      </c>
      <c r="V31" s="22">
        <f t="shared" si="0"/>
        <v>-8564.6052</v>
      </c>
      <c r="X31" s="3">
        <v>530443</v>
      </c>
      <c r="Y31" s="27">
        <f t="shared" si="1"/>
        <v>2089.4600725728942</v>
      </c>
      <c r="Z31" s="27">
        <f t="shared" si="2"/>
        <v>-379.70067989239408</v>
      </c>
      <c r="AA31" s="27"/>
      <c r="AB31" s="7">
        <f>+BV_NA1_2022!T31</f>
        <v>2243.3997400000239</v>
      </c>
      <c r="AC31" s="7">
        <f>+BV_NA1_2023!T31</f>
        <v>-2086.361758200022</v>
      </c>
      <c r="AE31" s="41">
        <f t="shared" si="7"/>
        <v>1866.7973744805022</v>
      </c>
      <c r="AI31" s="43">
        <f t="shared" si="3"/>
        <v>1.7895241485743625E-2</v>
      </c>
      <c r="AK31" s="42"/>
      <c r="AL31" s="10"/>
    </row>
    <row r="32" spans="1:38" ht="14.45" customHeight="1" x14ac:dyDescent="0.25">
      <c r="A32" s="97" t="s">
        <v>82</v>
      </c>
      <c r="B32" s="27" t="s">
        <v>83</v>
      </c>
      <c r="D32" s="15">
        <f>+VLOOKUP(A32,'[2]2.2 BV'!$A$26:$E$54,5,0)</f>
        <v>247563.48342000652</v>
      </c>
      <c r="F32" s="97">
        <v>440076</v>
      </c>
      <c r="G32" s="89">
        <v>1</v>
      </c>
      <c r="H32" s="27">
        <v>10269.36</v>
      </c>
      <c r="I32" s="23">
        <v>27</v>
      </c>
      <c r="L32" s="1">
        <f t="shared" si="15"/>
        <v>10269.36</v>
      </c>
      <c r="M32" s="62">
        <f t="shared" si="5"/>
        <v>-308.08080000000001</v>
      </c>
      <c r="O32" s="97">
        <v>460094</v>
      </c>
      <c r="P32" s="89">
        <v>2</v>
      </c>
      <c r="Q32" s="6">
        <v>83099.257200000007</v>
      </c>
      <c r="R32" s="23">
        <v>27</v>
      </c>
      <c r="S32" s="27"/>
      <c r="T32" s="27"/>
      <c r="U32" s="27">
        <f t="shared" si="16"/>
        <v>83099.257200000007</v>
      </c>
      <c r="V32" s="22">
        <f t="shared" si="0"/>
        <v>-2492.9777160000003</v>
      </c>
      <c r="X32" s="3" t="s">
        <v>82</v>
      </c>
      <c r="Y32" s="27">
        <f t="shared" si="1"/>
        <v>7985.9188200002109</v>
      </c>
      <c r="Z32" s="27">
        <f t="shared" si="2"/>
        <v>7575.4425926521999</v>
      </c>
      <c r="AA32" s="27"/>
      <c r="AB32" s="7">
        <f>+BV_NA1_2022!T32</f>
        <v>0</v>
      </c>
      <c r="AC32" s="7">
        <f>+BV_NA1_2023!T32</f>
        <v>4951.2696684001303</v>
      </c>
      <c r="AE32" s="41">
        <f t="shared" si="7"/>
        <v>20512.631081052543</v>
      </c>
      <c r="AI32" s="43">
        <f t="shared" si="3"/>
        <v>8.2858064516129037E-2</v>
      </c>
      <c r="AK32" s="42"/>
      <c r="AL32" s="10"/>
    </row>
    <row r="33" spans="1:38" ht="14.45" customHeight="1" x14ac:dyDescent="0.25">
      <c r="A33" s="97" t="s">
        <v>105</v>
      </c>
      <c r="B33" s="27" t="s">
        <v>106</v>
      </c>
      <c r="D33" s="15">
        <f>+VLOOKUP(A33,'[2]2.2 BV'!$A$26:$E$54,5,0)</f>
        <v>288067.5</v>
      </c>
      <c r="F33" s="97">
        <v>530434</v>
      </c>
      <c r="G33" s="89">
        <v>1</v>
      </c>
      <c r="H33" s="27">
        <v>618297</v>
      </c>
      <c r="I33" s="23">
        <v>28</v>
      </c>
      <c r="L33" s="1">
        <f t="shared" si="15"/>
        <v>618297</v>
      </c>
      <c r="M33" s="62">
        <f t="shared" si="5"/>
        <v>-18548.91</v>
      </c>
      <c r="O33" s="97">
        <v>470120</v>
      </c>
      <c r="P33" s="89">
        <v>1</v>
      </c>
      <c r="Q33" s="6">
        <v>6226.6103999999996</v>
      </c>
      <c r="R33" s="23">
        <v>28</v>
      </c>
      <c r="S33" s="27"/>
      <c r="T33" s="27"/>
      <c r="U33" s="27">
        <f t="shared" si="16"/>
        <v>6226.6103999999996</v>
      </c>
      <c r="V33" s="22">
        <f t="shared" si="0"/>
        <v>-186.79831199999998</v>
      </c>
      <c r="X33" s="97" t="s">
        <v>105</v>
      </c>
      <c r="Y33" s="27">
        <f t="shared" si="1"/>
        <v>-9478.35</v>
      </c>
      <c r="Z33" s="27">
        <f t="shared" si="2"/>
        <v>-8564.6052</v>
      </c>
      <c r="AA33" s="27"/>
      <c r="AB33" s="7">
        <f>+BV_NA1_2022!T33</f>
        <v>6195</v>
      </c>
      <c r="AC33" s="7">
        <f>+BV_NA1_2023!T33</f>
        <v>-2580.66</v>
      </c>
      <c r="AE33" s="41">
        <f t="shared" si="7"/>
        <v>-14428.6152</v>
      </c>
      <c r="AI33" s="43">
        <f t="shared" si="3"/>
        <v>-5.0087619047619047E-2</v>
      </c>
      <c r="AK33" s="42"/>
      <c r="AL33" s="10"/>
    </row>
    <row r="34" spans="1:38" ht="14.45" customHeight="1" x14ac:dyDescent="0.25">
      <c r="A34" s="97" t="s">
        <v>107</v>
      </c>
      <c r="B34" s="27" t="s">
        <v>108</v>
      </c>
      <c r="D34" s="15">
        <f>+VLOOKUP(A34,'[2]2.2 BV'!$A$26:$E$54,5,0)</f>
        <v>93096.719999999987</v>
      </c>
      <c r="F34" s="97">
        <v>450065</v>
      </c>
      <c r="G34" s="89">
        <v>0</v>
      </c>
      <c r="H34" s="27">
        <v>0</v>
      </c>
      <c r="I34" s="23">
        <v>29</v>
      </c>
      <c r="L34" s="1">
        <f t="shared" ref="L34" si="17">+H34</f>
        <v>0</v>
      </c>
      <c r="M34" s="62">
        <f t="shared" si="5"/>
        <v>0</v>
      </c>
      <c r="O34" s="97">
        <v>450065</v>
      </c>
      <c r="P34" s="89">
        <v>0</v>
      </c>
      <c r="Q34" s="6">
        <v>0</v>
      </c>
      <c r="R34" s="23">
        <v>29</v>
      </c>
      <c r="S34" s="27"/>
      <c r="T34" s="27"/>
      <c r="U34" s="27">
        <f t="shared" ref="U34" si="18">+Q34-T34</f>
        <v>0</v>
      </c>
      <c r="V34" s="22">
        <f t="shared" si="0"/>
        <v>0</v>
      </c>
      <c r="X34" s="97" t="s">
        <v>107</v>
      </c>
      <c r="Y34" s="27">
        <f t="shared" si="1"/>
        <v>-3063.1824000000001</v>
      </c>
      <c r="Z34" s="27">
        <f t="shared" si="2"/>
        <v>0</v>
      </c>
      <c r="AA34" s="27"/>
      <c r="AB34" s="7">
        <f>+BV_NA1_2022!T34</f>
        <v>2002.0800000000002</v>
      </c>
      <c r="AC34" s="7">
        <f>+BV_NA1_2023!T34</f>
        <v>1861.9343999999999</v>
      </c>
      <c r="AE34" s="41">
        <f t="shared" si="7"/>
        <v>800.83199999999988</v>
      </c>
      <c r="AI34" s="43">
        <f t="shared" si="3"/>
        <v>8.6021505376344086E-3</v>
      </c>
      <c r="AK34" s="42"/>
      <c r="AL34" s="10"/>
    </row>
    <row r="35" spans="1:38" ht="14.45" customHeight="1" x14ac:dyDescent="0.25">
      <c r="B35" s="19" t="s">
        <v>5</v>
      </c>
      <c r="D35" s="4">
        <f>SUM(D6:D34)</f>
        <v>4873662.5491899857</v>
      </c>
      <c r="F35" s="17"/>
      <c r="G35" s="17"/>
      <c r="H35" s="17">
        <f>SUM(H6:H34)</f>
        <v>5208691.4767199857</v>
      </c>
      <c r="I35" s="23"/>
      <c r="J35" s="17">
        <f>SUM(J6:J34)</f>
        <v>1736230.4922399952</v>
      </c>
      <c r="K35" s="17">
        <f>SUM(K6:K34)</f>
        <v>1736230.4922399952</v>
      </c>
      <c r="L35" s="17">
        <f>SUM(L6:L34)</f>
        <v>1736230.4922399949</v>
      </c>
      <c r="M35" s="17">
        <f>SUM(M6:M34)</f>
        <v>3.637978807091713E-12</v>
      </c>
      <c r="O35" s="17"/>
      <c r="P35" s="17"/>
      <c r="Q35" s="17">
        <f>SUM(Q6:Q34)</f>
        <v>4873662.5492661837</v>
      </c>
      <c r="R35" s="23"/>
      <c r="S35" s="17">
        <f>SUM(S6:S34)</f>
        <v>1624554.1830887282</v>
      </c>
      <c r="T35" s="17">
        <f>SUM(T6:T34)</f>
        <v>1624554.183088728</v>
      </c>
      <c r="U35" s="17">
        <f>SUM(U6:U34)</f>
        <v>1624554.1830887299</v>
      </c>
      <c r="V35" s="17">
        <f>SUM(V6:V34)</f>
        <v>-3.4646063795662485E-11</v>
      </c>
      <c r="X35" s="4"/>
      <c r="Y35" s="4">
        <f>SUM(Y6:Y34)</f>
        <v>1.0459189070388675E-11</v>
      </c>
      <c r="Z35" s="4">
        <f>SUM(Z6:Z34)</f>
        <v>-4.7293724492192268E-11</v>
      </c>
      <c r="AA35" s="27"/>
      <c r="AB35" s="70">
        <f>SUM(AB6:AB34)</f>
        <v>-6.2799993427233858E-3</v>
      </c>
      <c r="AC35" s="70">
        <f>SUM(AC6:AC34)</f>
        <v>7.6200535431780736E-5</v>
      </c>
      <c r="AE35" s="41">
        <f>SUM(AE6:AE34)</f>
        <v>-6.2037988268457411E-3</v>
      </c>
      <c r="AI35" s="40">
        <f>SUM(AI6:AI34)</f>
        <v>0.12959468684085423</v>
      </c>
      <c r="AK35" s="40"/>
      <c r="AL35" s="10"/>
    </row>
    <row r="36" spans="1:38" ht="16.899999999999999" customHeight="1" x14ac:dyDescent="0.25">
      <c r="F36" s="14" t="s">
        <v>4</v>
      </c>
      <c r="G36" s="14"/>
      <c r="H36" s="13">
        <f>H35/3</f>
        <v>1736230.4922399952</v>
      </c>
      <c r="I36" s="23"/>
      <c r="J36" s="11">
        <f>$H36-J35</f>
        <v>0</v>
      </c>
      <c r="K36" s="11">
        <f>$H36-K35</f>
        <v>0</v>
      </c>
      <c r="L36" s="11">
        <f>$H36-L35</f>
        <v>0</v>
      </c>
      <c r="O36" s="14" t="s">
        <v>4</v>
      </c>
      <c r="P36" s="14"/>
      <c r="Q36" s="13">
        <f>Q35/3</f>
        <v>1624554.183088728</v>
      </c>
      <c r="R36" s="23"/>
      <c r="S36" s="11">
        <f>$Q36-S35</f>
        <v>0</v>
      </c>
      <c r="T36" s="11">
        <f>$Q36-T35</f>
        <v>0</v>
      </c>
      <c r="U36" s="11">
        <f>$Q36-U35</f>
        <v>-1.862645149230957E-9</v>
      </c>
    </row>
    <row r="37" spans="1:38" ht="16.899999999999999" customHeight="1" x14ac:dyDescent="0.25">
      <c r="J37" s="84"/>
      <c r="K37" s="89"/>
    </row>
    <row r="38" spans="1:38" ht="16.899999999999999" customHeight="1" x14ac:dyDescent="0.25">
      <c r="F38" s="86" t="s">
        <v>3</v>
      </c>
      <c r="G38" s="87"/>
      <c r="H38" s="87"/>
      <c r="I38" s="88"/>
      <c r="O38" s="154" t="s">
        <v>3</v>
      </c>
      <c r="P38" s="155"/>
      <c r="Q38" s="155"/>
      <c r="R38" s="156"/>
    </row>
    <row r="39" spans="1:38" ht="37.9" customHeight="1" x14ac:dyDescent="0.25">
      <c r="F39" s="63" t="s">
        <v>2</v>
      </c>
      <c r="G39" s="64" t="s">
        <v>33</v>
      </c>
      <c r="H39" s="65" t="s">
        <v>53</v>
      </c>
      <c r="I39" s="63" t="s">
        <v>0</v>
      </c>
      <c r="J39" s="27"/>
      <c r="K39" s="27"/>
      <c r="L39" s="90"/>
      <c r="O39" s="63" t="s">
        <v>2</v>
      </c>
      <c r="P39" s="64" t="s">
        <v>33</v>
      </c>
      <c r="Q39" s="65" t="s">
        <v>54</v>
      </c>
      <c r="R39" s="63" t="s">
        <v>0</v>
      </c>
    </row>
    <row r="40" spans="1:38" x14ac:dyDescent="0.25">
      <c r="F40" s="3">
        <v>500267</v>
      </c>
      <c r="G40" s="89">
        <v>17</v>
      </c>
      <c r="H40" s="1">
        <v>123466.28</v>
      </c>
      <c r="I40" s="5">
        <v>1</v>
      </c>
      <c r="J40" s="27">
        <v>140755.29913999373</v>
      </c>
      <c r="K40" s="27">
        <v>1645763.9936399867</v>
      </c>
      <c r="L40" s="91"/>
      <c r="O40" s="3">
        <v>530432</v>
      </c>
      <c r="P40" s="89">
        <v>15</v>
      </c>
      <c r="Q40" s="6">
        <v>560526.1720199897</v>
      </c>
      <c r="R40" s="5">
        <v>1</v>
      </c>
      <c r="AC40" s="10"/>
    </row>
    <row r="41" spans="1:38" x14ac:dyDescent="0.25">
      <c r="F41" s="3" t="s">
        <v>82</v>
      </c>
      <c r="G41" s="89">
        <v>15</v>
      </c>
      <c r="H41" s="1">
        <v>266197.29400000704</v>
      </c>
      <c r="I41" s="5">
        <v>2</v>
      </c>
      <c r="J41" s="27">
        <f>SUM(H12:H13)</f>
        <v>231221.7977400021</v>
      </c>
      <c r="K41" s="27">
        <f>SUM(H14:H20)</f>
        <v>1652668.9535399801</v>
      </c>
      <c r="L41" s="91"/>
      <c r="O41" s="3" t="s">
        <v>82</v>
      </c>
      <c r="P41" s="89">
        <v>14</v>
      </c>
      <c r="Q41" s="6">
        <v>252514.75308840667</v>
      </c>
      <c r="R41" s="5">
        <v>2</v>
      </c>
      <c r="S41" s="1">
        <v>451301.24599692691</v>
      </c>
      <c r="T41" s="1">
        <v>1008932.5489794509</v>
      </c>
    </row>
    <row r="42" spans="1:38" x14ac:dyDescent="0.25">
      <c r="F42" s="3">
        <v>530432</v>
      </c>
      <c r="G42" s="89">
        <v>14</v>
      </c>
      <c r="H42" s="1">
        <v>597910.0477199892</v>
      </c>
      <c r="I42" s="5">
        <v>3</v>
      </c>
      <c r="J42" s="92">
        <f>+J40/J41</f>
        <v>0.60874580388076716</v>
      </c>
      <c r="K42" s="93">
        <f>+K40/K41</f>
        <v>0.99582193403875408</v>
      </c>
      <c r="L42" s="91"/>
      <c r="O42" s="3">
        <v>500267</v>
      </c>
      <c r="P42" s="89">
        <v>12</v>
      </c>
      <c r="Q42" s="6">
        <v>114823.64039999999</v>
      </c>
      <c r="R42" s="5">
        <v>3</v>
      </c>
      <c r="S42" s="1">
        <f>SUM(Q12:Q15)</f>
        <v>716020.65550620388</v>
      </c>
      <c r="T42" s="1">
        <f>SUM(Q19:Q23)</f>
        <v>1151491.7516339794</v>
      </c>
    </row>
    <row r="43" spans="1:38" x14ac:dyDescent="0.25">
      <c r="F43" s="3">
        <v>440005</v>
      </c>
      <c r="G43" s="89">
        <v>13</v>
      </c>
      <c r="H43" s="1">
        <v>120597.31138000518</v>
      </c>
      <c r="I43" s="5">
        <v>4</v>
      </c>
      <c r="L43" s="91"/>
      <c r="O43" s="3">
        <v>440005</v>
      </c>
      <c r="P43" s="89">
        <v>11</v>
      </c>
      <c r="Q43" s="6">
        <v>112155.4995834048</v>
      </c>
      <c r="R43" s="5">
        <v>4</v>
      </c>
      <c r="S43" s="85">
        <f>+S41/S42</f>
        <v>0.63029081986171365</v>
      </c>
      <c r="T43" s="95">
        <f>+T41/T42</f>
        <v>0.8761960713550615</v>
      </c>
    </row>
    <row r="44" spans="1:38" x14ac:dyDescent="0.25">
      <c r="F44" s="3">
        <v>480203</v>
      </c>
      <c r="G44" s="89">
        <v>11</v>
      </c>
      <c r="H44" s="1">
        <v>411583.26</v>
      </c>
      <c r="I44" s="5">
        <v>5</v>
      </c>
      <c r="L44" s="91"/>
      <c r="O44" s="3">
        <v>440006</v>
      </c>
      <c r="P44" s="89">
        <v>11</v>
      </c>
      <c r="Q44" s="6">
        <v>32091.137999999999</v>
      </c>
      <c r="R44" s="5">
        <v>5</v>
      </c>
    </row>
    <row r="45" spans="1:38" x14ac:dyDescent="0.25">
      <c r="F45" s="3">
        <v>530433</v>
      </c>
      <c r="G45" s="89">
        <v>10</v>
      </c>
      <c r="H45" s="1">
        <v>75721</v>
      </c>
      <c r="I45" s="5">
        <v>6</v>
      </c>
      <c r="L45" s="91"/>
      <c r="O45" s="3">
        <v>530433</v>
      </c>
      <c r="P45" s="89">
        <v>11</v>
      </c>
      <c r="Q45" s="6">
        <v>101141.734</v>
      </c>
      <c r="R45" s="5">
        <v>6</v>
      </c>
    </row>
    <row r="46" spans="1:38" x14ac:dyDescent="0.25">
      <c r="F46" s="3">
        <v>510259</v>
      </c>
      <c r="G46" s="89">
        <v>9</v>
      </c>
      <c r="H46" s="1">
        <v>116808.41100000088</v>
      </c>
      <c r="I46" s="5">
        <v>7</v>
      </c>
      <c r="L46" s="91"/>
      <c r="O46" s="3">
        <v>440076</v>
      </c>
      <c r="P46" s="89">
        <v>9</v>
      </c>
      <c r="Q46" s="6">
        <v>9550.5048000000006</v>
      </c>
      <c r="R46" s="5">
        <v>7</v>
      </c>
    </row>
    <row r="47" spans="1:38" x14ac:dyDescent="0.25">
      <c r="F47" s="3">
        <v>530443</v>
      </c>
      <c r="G47" s="89">
        <v>9</v>
      </c>
      <c r="H47" s="1">
        <v>114413.38674000121</v>
      </c>
      <c r="I47" s="5">
        <v>8</v>
      </c>
      <c r="L47" s="91"/>
      <c r="O47" s="3">
        <v>480203</v>
      </c>
      <c r="P47" s="89">
        <v>9</v>
      </c>
      <c r="Q47" s="6">
        <v>382772.43179999996</v>
      </c>
      <c r="R47" s="5">
        <v>8</v>
      </c>
    </row>
    <row r="48" spans="1:38" x14ac:dyDescent="0.25">
      <c r="F48" s="3">
        <v>440006</v>
      </c>
      <c r="G48" s="89">
        <v>8</v>
      </c>
      <c r="H48" s="1">
        <v>34506.6</v>
      </c>
      <c r="I48" s="5">
        <v>9</v>
      </c>
      <c r="L48" s="91"/>
      <c r="O48" s="3">
        <v>490200</v>
      </c>
      <c r="P48" s="89">
        <v>9</v>
      </c>
      <c r="Q48" s="6">
        <v>215065.89667620324</v>
      </c>
      <c r="R48" s="5">
        <v>9</v>
      </c>
      <c r="S48" s="39"/>
    </row>
    <row r="49" spans="2:35" x14ac:dyDescent="0.25">
      <c r="F49" s="3">
        <v>470131</v>
      </c>
      <c r="G49" s="89">
        <v>8</v>
      </c>
      <c r="H49" s="1">
        <v>225687.14</v>
      </c>
      <c r="I49" s="5">
        <v>10</v>
      </c>
      <c r="L49" s="91"/>
      <c r="O49" s="3">
        <v>510259</v>
      </c>
      <c r="P49" s="89">
        <v>9</v>
      </c>
      <c r="Q49" s="6">
        <v>108631.82223000081</v>
      </c>
      <c r="R49" s="5">
        <v>10</v>
      </c>
    </row>
    <row r="50" spans="2:35" x14ac:dyDescent="0.25">
      <c r="F50" s="3">
        <v>470134</v>
      </c>
      <c r="G50" s="89">
        <v>8</v>
      </c>
      <c r="H50" s="1">
        <v>315156.39581999712</v>
      </c>
      <c r="I50" s="5">
        <v>11</v>
      </c>
      <c r="L50" s="91"/>
      <c r="O50" s="3">
        <v>470131</v>
      </c>
      <c r="P50" s="89">
        <v>8</v>
      </c>
      <c r="Q50" s="6">
        <v>209889.04019999999</v>
      </c>
      <c r="R50" s="5">
        <v>11</v>
      </c>
    </row>
    <row r="51" spans="2:35" x14ac:dyDescent="0.25">
      <c r="F51" s="3">
        <v>480212</v>
      </c>
      <c r="G51" s="89">
        <v>8</v>
      </c>
      <c r="H51" s="1">
        <v>49521</v>
      </c>
      <c r="I51" s="5">
        <v>12</v>
      </c>
      <c r="L51" s="91"/>
      <c r="O51" s="3">
        <v>480212</v>
      </c>
      <c r="P51" s="89">
        <v>8</v>
      </c>
      <c r="Q51" s="6">
        <v>46054.53</v>
      </c>
      <c r="R51" s="5">
        <v>12</v>
      </c>
    </row>
    <row r="52" spans="2:35" x14ac:dyDescent="0.25">
      <c r="F52" s="3">
        <v>490199</v>
      </c>
      <c r="G52" s="89">
        <v>8</v>
      </c>
      <c r="H52" s="1">
        <v>681091.8307199796</v>
      </c>
      <c r="I52" s="5">
        <v>13</v>
      </c>
      <c r="L52" s="91"/>
      <c r="O52" s="97" t="s">
        <v>107</v>
      </c>
      <c r="P52" s="89">
        <v>8</v>
      </c>
      <c r="Q52" s="6">
        <v>94958.654399999985</v>
      </c>
      <c r="R52" s="5">
        <v>13</v>
      </c>
    </row>
    <row r="53" spans="2:35" x14ac:dyDescent="0.25">
      <c r="F53" s="3">
        <v>490200</v>
      </c>
      <c r="G53" s="89">
        <v>8</v>
      </c>
      <c r="H53" s="1">
        <v>228638.94700000342</v>
      </c>
      <c r="I53" s="5">
        <v>14</v>
      </c>
      <c r="L53" s="91"/>
      <c r="O53" s="3">
        <v>450064</v>
      </c>
      <c r="P53" s="89">
        <v>7</v>
      </c>
      <c r="Q53" s="6">
        <v>15099.8148</v>
      </c>
      <c r="R53" s="5">
        <v>14</v>
      </c>
    </row>
    <row r="54" spans="2:35" x14ac:dyDescent="0.25">
      <c r="F54" s="3">
        <v>530337</v>
      </c>
      <c r="G54" s="89">
        <v>8</v>
      </c>
      <c r="H54" s="1">
        <v>118067.04</v>
      </c>
      <c r="I54" s="5">
        <v>15</v>
      </c>
      <c r="L54" s="91"/>
      <c r="O54" s="3">
        <v>470134</v>
      </c>
      <c r="P54" s="89">
        <v>7</v>
      </c>
      <c r="Q54" s="6">
        <v>293095.44811259734</v>
      </c>
      <c r="R54" s="5">
        <v>15</v>
      </c>
    </row>
    <row r="55" spans="2:35" x14ac:dyDescent="0.25">
      <c r="B55" s="2" t="s">
        <v>73</v>
      </c>
      <c r="D55" s="73">
        <f>SUMIF($AE6:$AE18,"&gt;0",D6:D18)</f>
        <v>545340.35733000492</v>
      </c>
      <c r="F55" s="3">
        <v>450064</v>
      </c>
      <c r="G55" s="89">
        <v>7</v>
      </c>
      <c r="H55" s="1">
        <v>16236.36</v>
      </c>
      <c r="I55" s="5">
        <v>16</v>
      </c>
      <c r="L55" s="91"/>
      <c r="O55" s="3">
        <v>490199</v>
      </c>
      <c r="P55" s="89">
        <v>7</v>
      </c>
      <c r="Q55" s="6">
        <v>633415.40256958094</v>
      </c>
      <c r="R55" s="5">
        <v>16</v>
      </c>
      <c r="AE55" s="73">
        <f>SUMIF($AE6:$AE18,"&gt;0",AE6:AE18)</f>
        <v>39990.005445758688</v>
      </c>
      <c r="AI55" s="74">
        <f t="shared" ref="AI55:AI57" si="19">AE55/D55</f>
        <v>7.3330361320681256E-2</v>
      </c>
    </row>
    <row r="56" spans="2:35" x14ac:dyDescent="0.25">
      <c r="B56" s="2" t="s">
        <v>74</v>
      </c>
      <c r="D56" s="73">
        <f>SUMIF($AE6:$AE18,"=0",D6:D18)</f>
        <v>0</v>
      </c>
      <c r="F56" s="96">
        <v>460136</v>
      </c>
      <c r="G56" s="89">
        <v>7</v>
      </c>
      <c r="H56" s="1">
        <v>145754</v>
      </c>
      <c r="I56" s="5">
        <v>17</v>
      </c>
      <c r="L56" s="91"/>
      <c r="O56" s="3">
        <v>530337</v>
      </c>
      <c r="P56" s="89">
        <v>7</v>
      </c>
      <c r="Q56" s="6">
        <v>107649.35999999999</v>
      </c>
      <c r="R56" s="5">
        <v>17</v>
      </c>
      <c r="AE56" s="73">
        <f>SUMIF($AE6:$AE18,"=0",AE6:AE18)</f>
        <v>0</v>
      </c>
      <c r="AI56" s="74"/>
    </row>
    <row r="57" spans="2:35" x14ac:dyDescent="0.25">
      <c r="B57" s="2" t="s">
        <v>75</v>
      </c>
      <c r="D57" s="73">
        <f>SUMIF($AE6:$AE18,"&lt;0",D6:D18)</f>
        <v>943392.12926999852</v>
      </c>
      <c r="F57" s="3">
        <v>470135</v>
      </c>
      <c r="G57" s="89">
        <v>7</v>
      </c>
      <c r="H57" s="1">
        <v>146265.9294000013</v>
      </c>
      <c r="I57" s="5">
        <v>18</v>
      </c>
      <c r="L57" s="91"/>
      <c r="O57" s="3">
        <v>530443</v>
      </c>
      <c r="P57" s="89">
        <v>7</v>
      </c>
      <c r="Q57" s="6">
        <v>102231.72615180108</v>
      </c>
      <c r="R57" s="5">
        <v>18</v>
      </c>
      <c r="AE57" s="73">
        <f>SUMIF($AE6:$AE18,"&lt;0",AE6:AE18)</f>
        <v>-39035.500042329666</v>
      </c>
      <c r="AI57" s="74">
        <f t="shared" si="19"/>
        <v>-4.1377809747613147E-2</v>
      </c>
    </row>
    <row r="58" spans="2:35" x14ac:dyDescent="0.25">
      <c r="D58" s="15">
        <f>SUM(D55:D57)</f>
        <v>1488732.4866000034</v>
      </c>
      <c r="F58" s="3">
        <v>520307</v>
      </c>
      <c r="G58" s="89">
        <v>7</v>
      </c>
      <c r="H58" s="1">
        <v>27712.05360000005</v>
      </c>
      <c r="I58" s="5">
        <v>19</v>
      </c>
      <c r="L58" s="91"/>
      <c r="O58" s="3">
        <v>450046</v>
      </c>
      <c r="P58" s="89">
        <v>6</v>
      </c>
      <c r="Q58" s="6">
        <v>75130.078085999994</v>
      </c>
      <c r="R58" s="5">
        <v>19</v>
      </c>
      <c r="AE58" s="15">
        <f>SUM(AE55:AE57)</f>
        <v>954.50540342902241</v>
      </c>
      <c r="AI58" s="74"/>
    </row>
    <row r="59" spans="2:35" x14ac:dyDescent="0.25">
      <c r="D59" s="75">
        <f>+D58-D35</f>
        <v>-3384930.0625899825</v>
      </c>
      <c r="F59" s="3">
        <v>450046</v>
      </c>
      <c r="G59" s="89">
        <v>5</v>
      </c>
      <c r="H59" s="1">
        <v>80785.030200000008</v>
      </c>
      <c r="I59" s="5">
        <v>20</v>
      </c>
      <c r="L59" s="91"/>
      <c r="O59" s="96">
        <v>460136</v>
      </c>
      <c r="P59" s="89">
        <v>6</v>
      </c>
      <c r="Q59" s="6">
        <v>138262.2444</v>
      </c>
      <c r="R59" s="5">
        <v>20</v>
      </c>
      <c r="AE59" s="75">
        <f>+AE58-AE35</f>
        <v>954.51160722784925</v>
      </c>
    </row>
    <row r="60" spans="2:35" x14ac:dyDescent="0.25">
      <c r="F60" s="97" t="s">
        <v>107</v>
      </c>
      <c r="G60" s="89">
        <v>5</v>
      </c>
      <c r="H60" s="1">
        <v>102106.08</v>
      </c>
      <c r="I60" s="5">
        <v>21</v>
      </c>
      <c r="L60" s="91"/>
      <c r="O60" s="3">
        <v>470135</v>
      </c>
      <c r="P60" s="89">
        <v>6</v>
      </c>
      <c r="Q60" s="6">
        <v>133360.11210000119</v>
      </c>
      <c r="R60" s="5">
        <v>21</v>
      </c>
    </row>
    <row r="61" spans="2:35" x14ac:dyDescent="0.25">
      <c r="F61" s="3">
        <v>520313</v>
      </c>
      <c r="G61" s="89">
        <v>4</v>
      </c>
      <c r="H61" s="1">
        <v>111339.12</v>
      </c>
      <c r="I61" s="5">
        <v>22</v>
      </c>
      <c r="L61" s="91"/>
      <c r="O61" s="3">
        <v>520307</v>
      </c>
      <c r="P61" s="89">
        <v>6</v>
      </c>
      <c r="Q61" s="6">
        <v>25772.209848000046</v>
      </c>
      <c r="R61" s="5">
        <v>22</v>
      </c>
    </row>
    <row r="62" spans="2:35" x14ac:dyDescent="0.25">
      <c r="F62" s="3">
        <v>460094</v>
      </c>
      <c r="G62" s="89">
        <v>3</v>
      </c>
      <c r="H62" s="1">
        <v>87602</v>
      </c>
      <c r="I62" s="5">
        <v>23</v>
      </c>
      <c r="L62" s="91"/>
      <c r="O62" s="3">
        <v>510260</v>
      </c>
      <c r="P62" s="89">
        <v>5</v>
      </c>
      <c r="Q62" s="6">
        <v>56096.036800200098</v>
      </c>
      <c r="R62" s="5">
        <v>23</v>
      </c>
    </row>
    <row r="63" spans="2:35" x14ac:dyDescent="0.25">
      <c r="F63" s="3">
        <v>510260</v>
      </c>
      <c r="G63" s="89">
        <v>3</v>
      </c>
      <c r="H63" s="1">
        <v>60318.319140000109</v>
      </c>
      <c r="I63" s="5">
        <v>24</v>
      </c>
      <c r="L63" s="91"/>
      <c r="O63" s="3">
        <v>520313</v>
      </c>
      <c r="P63" s="89">
        <v>5</v>
      </c>
      <c r="Q63" s="6">
        <v>103545.38159999999</v>
      </c>
      <c r="R63" s="5">
        <v>24</v>
      </c>
    </row>
    <row r="64" spans="2:35" x14ac:dyDescent="0.25">
      <c r="F64" s="97" t="s">
        <v>105</v>
      </c>
      <c r="G64" s="89">
        <v>3</v>
      </c>
      <c r="H64" s="1">
        <v>315945</v>
      </c>
      <c r="I64" s="5">
        <v>25</v>
      </c>
      <c r="L64" s="91"/>
      <c r="O64" s="3">
        <v>530434</v>
      </c>
      <c r="P64" s="89">
        <v>4</v>
      </c>
      <c r="Q64" s="6">
        <v>575016.21</v>
      </c>
      <c r="R64" s="5">
        <v>26</v>
      </c>
    </row>
    <row r="65" spans="6:18" x14ac:dyDescent="0.25">
      <c r="F65" s="3">
        <v>470120</v>
      </c>
      <c r="G65" s="89">
        <v>2</v>
      </c>
      <c r="H65" s="1">
        <v>6695.28</v>
      </c>
      <c r="I65" s="5">
        <v>26</v>
      </c>
      <c r="L65" s="91"/>
      <c r="O65" s="97" t="s">
        <v>105</v>
      </c>
      <c r="P65" s="89">
        <v>3</v>
      </c>
      <c r="Q65" s="6">
        <v>285486.84000000003</v>
      </c>
      <c r="R65" s="5">
        <v>27</v>
      </c>
    </row>
    <row r="66" spans="6:18" x14ac:dyDescent="0.25">
      <c r="F66" s="3">
        <v>440076</v>
      </c>
      <c r="G66" s="89">
        <v>1</v>
      </c>
      <c r="H66" s="1">
        <v>10269.36</v>
      </c>
      <c r="I66" s="5">
        <v>27</v>
      </c>
      <c r="L66" s="91"/>
      <c r="O66" s="3">
        <v>460094</v>
      </c>
      <c r="P66" s="89">
        <v>2</v>
      </c>
      <c r="Q66" s="6">
        <v>83099.257200000007</v>
      </c>
      <c r="R66" s="5">
        <v>28</v>
      </c>
    </row>
    <row r="67" spans="6:18" x14ac:dyDescent="0.25">
      <c r="F67" s="3">
        <v>530434</v>
      </c>
      <c r="G67" s="89">
        <v>1</v>
      </c>
      <c r="H67" s="1">
        <v>618297</v>
      </c>
      <c r="I67" s="5">
        <v>28</v>
      </c>
      <c r="L67" s="91"/>
      <c r="O67" s="3">
        <v>470120</v>
      </c>
      <c r="P67" s="89">
        <v>1</v>
      </c>
      <c r="Q67" s="6">
        <v>6226.6103999999996</v>
      </c>
      <c r="R67" s="5">
        <v>29</v>
      </c>
    </row>
    <row r="68" spans="6:18" x14ac:dyDescent="0.25">
      <c r="F68" s="3">
        <v>450065</v>
      </c>
      <c r="G68" s="89">
        <v>0</v>
      </c>
      <c r="H68" s="1">
        <v>0</v>
      </c>
      <c r="I68" s="5">
        <v>29</v>
      </c>
      <c r="L68" s="91"/>
      <c r="O68" s="3">
        <v>450065</v>
      </c>
      <c r="P68" s="89">
        <v>0</v>
      </c>
      <c r="Q68" s="6">
        <v>0</v>
      </c>
      <c r="R68" s="5">
        <v>25</v>
      </c>
    </row>
  </sheetData>
  <sheetProtection algorithmName="SHA-512" hashValue="FKuUDPl0zHC7+UX2EpK432aQnldwuAHvQfJUVokvLgdfialJZuSbGW1SI34YmMPSHw649utGopy04UbI6mxzJg==" saltValue="lhuhoNepL96WJRxNFQVQlA==" spinCount="100000" sheet="1" objects="1" scenarios="1"/>
  <autoFilter ref="AI3:AI35"/>
  <sortState ref="O40:Q68">
    <sortCondition descending="1" ref="P40:P68"/>
  </sortState>
  <mergeCells count="24">
    <mergeCell ref="AE3:AE5"/>
    <mergeCell ref="AI3:AI5"/>
    <mergeCell ref="F4:F5"/>
    <mergeCell ref="H4:H5"/>
    <mergeCell ref="I4:I5"/>
    <mergeCell ref="J4:L4"/>
    <mergeCell ref="S3:U3"/>
    <mergeCell ref="O3:R3"/>
    <mergeCell ref="F3:I3"/>
    <mergeCell ref="J3:L3"/>
    <mergeCell ref="V3:V5"/>
    <mergeCell ref="Y3:Z4"/>
    <mergeCell ref="X3:X5"/>
    <mergeCell ref="AC3:AC5"/>
    <mergeCell ref="O4:O5"/>
    <mergeCell ref="S4:U4"/>
    <mergeCell ref="O38:R38"/>
    <mergeCell ref="Q4:Q5"/>
    <mergeCell ref="R4:R5"/>
    <mergeCell ref="AB3:AB5"/>
    <mergeCell ref="D3:D5"/>
    <mergeCell ref="M3:M5"/>
    <mergeCell ref="P4:P5"/>
    <mergeCell ref="G4:G5"/>
  </mergeCells>
  <printOptions horizontalCentered="1"/>
  <pageMargins left="0.9055118110236221" right="0.9055118110236221" top="1.7322834645669292" bottom="0.74803149606299213" header="1.0236220472440944" footer="0.51181102362204722"/>
  <pageSetup paperSize="9" scale="73" fitToWidth="2" orientation="landscape" r:id="rId1"/>
  <headerFooter>
    <oddHeader xml:space="preserve">&amp;C&amp;"-,Grassetto"&amp;18INDICAZIONI OPERATIVE: Allegato CA_03
CARDIOLOGIA: punteggio negli INDICATORI di PERFORMANCE e TOTALE variazioni da applicare sul TETTO 2024&amp;R: </oddHeader>
    <oddFooter>&amp;C&amp;14pag. n. &amp;P di &amp;N</oddFooter>
  </headerFooter>
  <colBreaks count="1" manualBreakCount="1">
    <brk id="18" min="1" max="4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BV_NA1_2022</vt:lpstr>
      <vt:lpstr>BV_NA1_2023</vt:lpstr>
      <vt:lpstr>Consuntivo 2023</vt:lpstr>
      <vt:lpstr>BV_NA1_RIEP_x_2024</vt:lpstr>
      <vt:lpstr>BV_NA1_2022!Area_stampa</vt:lpstr>
      <vt:lpstr>BV_NA1_2023!Area_stampa</vt:lpstr>
      <vt:lpstr>BV_NA1_RIEP_x_2024!Area_stampa</vt:lpstr>
      <vt:lpstr>BV_NA1_RIEP_x_2024!Titoli_stampa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Marurizio Cartalemi</cp:lastModifiedBy>
  <cp:lastPrinted>2024-12-08T12:12:15Z</cp:lastPrinted>
  <dcterms:created xsi:type="dcterms:W3CDTF">2024-10-14T14:17:55Z</dcterms:created>
  <dcterms:modified xsi:type="dcterms:W3CDTF">2025-02-11T11:37:57Z</dcterms:modified>
</cp:coreProperties>
</file>