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aurizio.cartalemi\Desktop\Tetti 2025\Invio ghidelli\Per INVIO\Diabetologia\"/>
    </mc:Choice>
  </mc:AlternateContent>
  <bookViews>
    <workbookView xWindow="0" yWindow="0" windowWidth="28800" windowHeight="12180" activeTab="2"/>
  </bookViews>
  <sheets>
    <sheet name="AD_NA1_2022" sheetId="2" r:id="rId1"/>
    <sheet name="AD_NA1_2023" sheetId="1" r:id="rId2"/>
    <sheet name="AD_NA1_RIEP_x_2024" sheetId="3" r:id="rId3"/>
  </sheets>
  <externalReferences>
    <externalReference r:id="rId4"/>
    <externalReference r:id="rId5"/>
  </externalReferences>
  <definedNames>
    <definedName name="_09_1_Elenco_Strutture" localSheetId="0">#REF!</definedName>
    <definedName name="_09_1_Elenco_Strutture" localSheetId="1">#REF!</definedName>
    <definedName name="_09_1_Elenco_Strutture" localSheetId="2">#REF!</definedName>
    <definedName name="_09_1_Elenco_Strutture">#REF!</definedName>
    <definedName name="_xlnm._FilterDatabase" localSheetId="2" hidden="1">AD_NA1_RIEP_x_2024!$AI$3:$AI$13</definedName>
    <definedName name="_xlnm.Print_Area" localSheetId="0">AD_NA1_2022!$A$1:$U$15</definedName>
    <definedName name="_xlnm.Print_Area" localSheetId="1">AD_NA1_2023!$A$1:$U$16</definedName>
    <definedName name="_xlnm.Print_Area" localSheetId="2">AD_NA1_RIEP_x_2024!$A$2:$AE$14</definedName>
    <definedName name="Excel_BuiltIn_Print_Titles_1_1">('[1]ESITO 2010'!$B$1:$B$65451,'[1]ESITO 2010'!$A$2:$IT$2)</definedName>
    <definedName name="Excel_BuiltIn_Print_Titles_1_1_1">('[1]ESITO 2010'!$B$2:$B$65379,'[1]ESITO 2010'!$A$2:$IT$2)</definedName>
    <definedName name="Excel_BuiltIn_Print_Titles_1_1_1_1">('[1]ESITO 2010'!$B$2:$B$65379,'[1]ESITO 2010'!$A$2:$IT$2)</definedName>
    <definedName name="Excel_BuiltIn_Print_Titles_2_1_1_1">('[1]ESITO 2010'!$B$2:$B$65359,'[1]ESITO 2010'!$A$2:$IT$2)</definedName>
    <definedName name="Excel_BuiltIn_Print_Titles_2_1_1_1_1">('[1]ESITO 2010'!$B$2:$B$65359,'[1]ESITO 2010'!$A$2:$IT$2)</definedName>
    <definedName name="_xlnm.Print_Titles" localSheetId="2">AD_NA1_RIEP_x_2024!$A:$B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3" i="3" l="1"/>
  <c r="AC13" i="3"/>
  <c r="AB13" i="3"/>
  <c r="Q22" i="3"/>
  <c r="Q23" i="3"/>
  <c r="Q24" i="3"/>
  <c r="Q25" i="3"/>
  <c r="Q26" i="3"/>
  <c r="Q27" i="3"/>
  <c r="Q21" i="3"/>
  <c r="P27" i="3"/>
  <c r="P26" i="3"/>
  <c r="P25" i="3"/>
  <c r="P24" i="3"/>
  <c r="P23" i="3"/>
  <c r="P22" i="3"/>
  <c r="P21" i="3"/>
  <c r="H12" i="3"/>
  <c r="G12" i="3"/>
  <c r="H11" i="3"/>
  <c r="G11" i="3"/>
  <c r="H10" i="3"/>
  <c r="G10" i="3"/>
  <c r="H9" i="3"/>
  <c r="G9" i="3"/>
  <c r="H8" i="3"/>
  <c r="G8" i="3"/>
  <c r="H7" i="3"/>
  <c r="G7" i="3"/>
  <c r="H6" i="3"/>
  <c r="G6" i="3"/>
  <c r="H22" i="3"/>
  <c r="H23" i="3"/>
  <c r="H24" i="3"/>
  <c r="H25" i="3"/>
  <c r="H26" i="3"/>
  <c r="H27" i="3"/>
  <c r="H21" i="3"/>
  <c r="G27" i="3"/>
  <c r="G26" i="3"/>
  <c r="G25" i="3"/>
  <c r="G24" i="3"/>
  <c r="G23" i="3"/>
  <c r="G22" i="3"/>
  <c r="G21" i="3"/>
  <c r="Q28" i="3" l="1"/>
  <c r="H28" i="3"/>
  <c r="U11" i="3"/>
  <c r="U12" i="3"/>
  <c r="U10" i="3"/>
  <c r="T9" i="3"/>
  <c r="T8" i="3"/>
  <c r="S7" i="3"/>
  <c r="L12" i="3" l="1"/>
  <c r="L11" i="3"/>
  <c r="L10" i="3"/>
  <c r="L13" i="3" s="1"/>
  <c r="K7" i="3"/>
  <c r="J6" i="3"/>
  <c r="Q7" i="1" l="1"/>
  <c r="Q8" i="1"/>
  <c r="Q9" i="1"/>
  <c r="Q10" i="1"/>
  <c r="Q11" i="1"/>
  <c r="Q12" i="1"/>
  <c r="P13" i="1"/>
  <c r="P12" i="1"/>
  <c r="P11" i="1"/>
  <c r="O10" i="1"/>
  <c r="O9" i="1"/>
  <c r="O13" i="1"/>
  <c r="O8" i="1"/>
  <c r="N13" i="1"/>
  <c r="M28" i="1"/>
  <c r="E12" i="1" l="1"/>
  <c r="E11" i="1"/>
  <c r="E10" i="1"/>
  <c r="E9" i="1"/>
  <c r="E8" i="1"/>
  <c r="E6" i="1"/>
  <c r="U13" i="2"/>
  <c r="P13" i="2"/>
  <c r="P12" i="2"/>
  <c r="P11" i="2"/>
  <c r="O10" i="2"/>
  <c r="O13" i="2"/>
  <c r="O9" i="2"/>
  <c r="N8" i="2"/>
  <c r="S6" i="3" l="1"/>
  <c r="M12" i="3"/>
  <c r="K22" i="3"/>
  <c r="K23" i="3" s="1"/>
  <c r="K9" i="3"/>
  <c r="M9" i="3" s="1"/>
  <c r="Y10" i="3" s="1"/>
  <c r="K8" i="3"/>
  <c r="M8" i="3" s="1"/>
  <c r="M7" i="3"/>
  <c r="K6" i="3"/>
  <c r="H13" i="3"/>
  <c r="Y9" i="3" l="1"/>
  <c r="Y7" i="3"/>
  <c r="U22" i="3"/>
  <c r="U23" i="3" s="1"/>
  <c r="T22" i="3"/>
  <c r="T23" i="3" s="1"/>
  <c r="Q13" i="3"/>
  <c r="K13" i="3"/>
  <c r="M11" i="3" l="1"/>
  <c r="Y6" i="3" s="1"/>
  <c r="V12" i="3"/>
  <c r="M10" i="3" l="1"/>
  <c r="Y11" i="3" s="1"/>
  <c r="V10" i="3"/>
  <c r="V11" i="3"/>
  <c r="Z11" i="3" s="1"/>
  <c r="V7" i="3"/>
  <c r="V9" i="3"/>
  <c r="S13" i="3"/>
  <c r="Z12" i="3" l="1"/>
  <c r="Z8" i="3"/>
  <c r="Z10" i="3"/>
  <c r="Z6" i="3"/>
  <c r="U13" i="3"/>
  <c r="V8" i="3"/>
  <c r="Z9" i="3" s="1"/>
  <c r="N7" i="2" l="1"/>
  <c r="N6" i="2"/>
  <c r="N13" i="2" s="1"/>
  <c r="D13" i="3" l="1"/>
  <c r="S7" i="1" l="1"/>
  <c r="S8" i="1"/>
  <c r="S9" i="1"/>
  <c r="S10" i="1"/>
  <c r="S11" i="1"/>
  <c r="S12" i="1"/>
  <c r="S6" i="1"/>
  <c r="T11" i="1"/>
  <c r="AC11" i="3" s="1"/>
  <c r="N7" i="1"/>
  <c r="T7" i="1"/>
  <c r="L13" i="1"/>
  <c r="I7" i="1"/>
  <c r="I8" i="1"/>
  <c r="I9" i="1"/>
  <c r="I10" i="1"/>
  <c r="I11" i="1"/>
  <c r="I12" i="1"/>
  <c r="I6" i="1"/>
  <c r="U7" i="1" l="1"/>
  <c r="AC7" i="3"/>
  <c r="T8" i="1"/>
  <c r="T9" i="1"/>
  <c r="T12" i="1"/>
  <c r="U11" i="1"/>
  <c r="T6" i="1"/>
  <c r="I13" i="1"/>
  <c r="F7" i="1"/>
  <c r="F8" i="1"/>
  <c r="F9" i="1"/>
  <c r="F10" i="1"/>
  <c r="F11" i="1"/>
  <c r="F12" i="1"/>
  <c r="S11" i="2"/>
  <c r="Q10" i="2"/>
  <c r="S9" i="2"/>
  <c r="S6" i="2"/>
  <c r="Q9" i="2"/>
  <c r="Q8" i="2"/>
  <c r="Q7" i="2"/>
  <c r="I7" i="2"/>
  <c r="I8" i="2"/>
  <c r="I9" i="2"/>
  <c r="I10" i="2"/>
  <c r="I11" i="2"/>
  <c r="I12" i="2"/>
  <c r="I6" i="2"/>
  <c r="Z13" i="2"/>
  <c r="Y13" i="2"/>
  <c r="X13" i="2"/>
  <c r="F7" i="2"/>
  <c r="F8" i="2"/>
  <c r="F9" i="2"/>
  <c r="F10" i="2"/>
  <c r="F11" i="2"/>
  <c r="F12" i="2"/>
  <c r="U12" i="1" l="1"/>
  <c r="AC12" i="3"/>
  <c r="U9" i="1"/>
  <c r="AC9" i="3"/>
  <c r="U8" i="1"/>
  <c r="AC8" i="3"/>
  <c r="T7" i="2"/>
  <c r="AB7" i="3" s="1"/>
  <c r="I13" i="2"/>
  <c r="T10" i="1"/>
  <c r="T11" i="2"/>
  <c r="T10" i="2"/>
  <c r="AB10" i="3" s="1"/>
  <c r="S10" i="2"/>
  <c r="S7" i="2"/>
  <c r="T8" i="2"/>
  <c r="AB8" i="3" s="1"/>
  <c r="Q12" i="2"/>
  <c r="T12" i="2" s="1"/>
  <c r="AB12" i="3" s="1"/>
  <c r="H13" i="2"/>
  <c r="S12" i="2"/>
  <c r="L13" i="2"/>
  <c r="Q11" i="2"/>
  <c r="T9" i="2" s="1"/>
  <c r="S8" i="2"/>
  <c r="H13" i="1"/>
  <c r="E13" i="1"/>
  <c r="U10" i="1" l="1"/>
  <c r="AC10" i="3"/>
  <c r="AE10" i="3" s="1"/>
  <c r="AI10" i="3" s="1"/>
  <c r="U7" i="2"/>
  <c r="U9" i="2"/>
  <c r="AB9" i="3"/>
  <c r="AE9" i="3" s="1"/>
  <c r="AI9" i="3" s="1"/>
  <c r="U11" i="2"/>
  <c r="AB11" i="3"/>
  <c r="AE11" i="3" s="1"/>
  <c r="AI11" i="3" s="1"/>
  <c r="U10" i="2"/>
  <c r="U8" i="2"/>
  <c r="S13" i="2"/>
  <c r="T6" i="2"/>
  <c r="U12" i="2"/>
  <c r="E13" i="2"/>
  <c r="S13" i="1" l="1"/>
  <c r="AE8" i="1" l="1"/>
  <c r="AE7" i="1"/>
  <c r="AE6" i="1"/>
  <c r="AB6" i="1" l="1"/>
  <c r="AB7" i="1"/>
  <c r="AB8" i="1"/>
  <c r="M6" i="3" l="1"/>
  <c r="V6" i="3"/>
  <c r="H14" i="3"/>
  <c r="Q14" i="3"/>
  <c r="F6" i="2"/>
  <c r="F13" i="2" s="1"/>
  <c r="Q6" i="2"/>
  <c r="L14" i="2"/>
  <c r="F6" i="1"/>
  <c r="F13" i="1" s="1"/>
  <c r="N6" i="1"/>
  <c r="L14" i="1"/>
  <c r="X13" i="1"/>
  <c r="Y13" i="1"/>
  <c r="Z13" i="1"/>
  <c r="V13" i="3" l="1"/>
  <c r="Z7" i="3"/>
  <c r="Y12" i="3"/>
  <c r="AE12" i="3" s="1"/>
  <c r="AI12" i="3" s="1"/>
  <c r="M13" i="3"/>
  <c r="Y8" i="3"/>
  <c r="Q6" i="1"/>
  <c r="T13" i="2"/>
  <c r="AC6" i="3"/>
  <c r="U6" i="2"/>
  <c r="AB6" i="3"/>
  <c r="J13" i="3"/>
  <c r="J14" i="3" s="1"/>
  <c r="S14" i="3"/>
  <c r="N14" i="1"/>
  <c r="N14" i="2"/>
  <c r="P14" i="1"/>
  <c r="Q13" i="2"/>
  <c r="O14" i="1"/>
  <c r="P14" i="2"/>
  <c r="O14" i="2"/>
  <c r="AE7" i="3" l="1"/>
  <c r="AI7" i="3" s="1"/>
  <c r="Z13" i="3"/>
  <c r="AE8" i="3"/>
  <c r="AI8" i="3" s="1"/>
  <c r="Y13" i="3"/>
  <c r="Q13" i="1"/>
  <c r="T13" i="1"/>
  <c r="AE6" i="3"/>
  <c r="U6" i="1"/>
  <c r="T14" i="3"/>
  <c r="K14" i="3"/>
  <c r="AI6" i="3" l="1"/>
  <c r="AE13" i="3"/>
  <c r="U13" i="1"/>
  <c r="U14" i="3"/>
  <c r="L14" i="3"/>
  <c r="AI13" i="3" l="1"/>
  <c r="J13" i="2" l="1"/>
  <c r="G11" i="2"/>
  <c r="J11" i="2" s="1"/>
  <c r="G7" i="2"/>
  <c r="J7" i="2" s="1"/>
  <c r="G10" i="2"/>
  <c r="J10" i="2" s="1"/>
  <c r="G12" i="2"/>
  <c r="J12" i="2" s="1"/>
  <c r="G8" i="2"/>
  <c r="J8" i="2" s="1"/>
  <c r="G6" i="2"/>
  <c r="J6" i="2" s="1"/>
  <c r="G9" i="2"/>
  <c r="J9" i="2" s="1"/>
  <c r="J13" i="1"/>
  <c r="G11" i="1"/>
  <c r="J11" i="1" s="1"/>
  <c r="G10" i="1"/>
  <c r="J10" i="1" s="1"/>
  <c r="G9" i="1"/>
  <c r="J9" i="1" s="1"/>
  <c r="G7" i="1"/>
  <c r="J7" i="1"/>
  <c r="G12" i="1"/>
  <c r="J12" i="1" s="1"/>
  <c r="G6" i="1"/>
  <c r="J6" i="1" s="1"/>
  <c r="G8" i="1"/>
  <c r="J8" i="1" s="1"/>
</calcChain>
</file>

<file path=xl/sharedStrings.xml><?xml version="1.0" encoding="utf-8"?>
<sst xmlns="http://schemas.openxmlformats.org/spreadsheetml/2006/main" count="175" uniqueCount="94">
  <si>
    <t>graduatoria</t>
  </si>
  <si>
    <t>Tetto NETTO 2024 provv.rio</t>
  </si>
  <si>
    <t>cod. NSIS</t>
  </si>
  <si>
    <t>ordinamento per codice NSIS</t>
  </si>
  <si>
    <t>1/3 tetto:</t>
  </si>
  <si>
    <t>Totale Branca</t>
  </si>
  <si>
    <t>D</t>
  </si>
  <si>
    <t>B</t>
  </si>
  <si>
    <t>A</t>
  </si>
  <si>
    <t>C</t>
  </si>
  <si>
    <t>3°</t>
  </si>
  <si>
    <t>2°</t>
  </si>
  <si>
    <t>1°</t>
  </si>
  <si>
    <t>€ VMP</t>
  </si>
  <si>
    <t>Denominazione struttura erogatrice</t>
  </si>
  <si>
    <t>NSIS_23</t>
  </si>
  <si>
    <t>OLTRE il 10% di extra tetto</t>
  </si>
  <si>
    <t>entro il 10% di extra tetto</t>
  </si>
  <si>
    <t>entro il tetto di spesa</t>
  </si>
  <si>
    <t>(1°: + 3%;   2°: 0%;   3°: -3%)</t>
  </si>
  <si>
    <t>Graduatoria</t>
  </si>
  <si>
    <t>Tetto NETTO 2023</t>
  </si>
  <si>
    <t>codice NSIS</t>
  </si>
  <si>
    <t>Branca: _______________________</t>
  </si>
  <si>
    <t>NETTO LIQUIDABILE (prima della RTU)</t>
  </si>
  <si>
    <t>Formazione dei tre Gruppi</t>
  </si>
  <si>
    <t>Cons.vo 2023 NETTO Liquidato</t>
  </si>
  <si>
    <t>valore teorico massimo di produzione
COM x VMP</t>
  </si>
  <si>
    <t>VMP cons.vo 2023</t>
  </si>
  <si>
    <t>Classe VMP per il 2023</t>
  </si>
  <si>
    <t>ASL:</t>
  </si>
  <si>
    <t>Cons.vo 2022 NETTO Liquidato</t>
  </si>
  <si>
    <t>Tetto di spesa NETTA 2022</t>
  </si>
  <si>
    <t>C.O.M. vigente dal 01.01.2023</t>
  </si>
  <si>
    <t>VMP cons.vo 2022</t>
  </si>
  <si>
    <t>punteggio Indicatori</t>
  </si>
  <si>
    <t>Classe VMP per il 2024</t>
  </si>
  <si>
    <t>classe 2024</t>
  </si>
  <si>
    <t>INDICE di col. 10</t>
  </si>
  <si>
    <t>Modifica del tetto NETTO 2023</t>
  </si>
  <si>
    <t>ordinamento per INDICE</t>
  </si>
  <si>
    <t>Modifica del tetto NETTO 2024</t>
  </si>
  <si>
    <t>INDICE: Tetto 2023 Teorico vs Tetto 2022 e Liquidato 2022 (2)</t>
  </si>
  <si>
    <t>Tetto TEORICO 2023
(1)</t>
  </si>
  <si>
    <t>"TETTO BASE" 2023: importi ordinati x NSIS</t>
  </si>
  <si>
    <t>NSIS</t>
  </si>
  <si>
    <t>NETTO 2023 col. 12</t>
  </si>
  <si>
    <t>modifica da col. 17</t>
  </si>
  <si>
    <t>BASE 2023
col. 12 + 17</t>
  </si>
  <si>
    <t>"TETTO BASE" 2024: importi ordinati x NSIS</t>
  </si>
  <si>
    <t>NETTO 2024 col. 12</t>
  </si>
  <si>
    <t>BASE 2024
col. 12 + 17</t>
  </si>
  <si>
    <t>Variazione per Indicatori di Performance sui dati di attività del 2022 e del 2023</t>
  </si>
  <si>
    <t>Tetto BASE 2023</t>
  </si>
  <si>
    <t>Tetto BASE 2024</t>
  </si>
  <si>
    <t>Tetto Netto 2024 provv.rio (DGRC 800/23)</t>
  </si>
  <si>
    <t>25 = 21+...+24</t>
  </si>
  <si>
    <t>Variaz % totale vs Tetto di spesa NETTA 2024 provv.rio</t>
  </si>
  <si>
    <t>ordinamento in base al punteggio Indicatori di Performance sui dati consuntivi 2023</t>
  </si>
  <si>
    <t>ordinamento in base al punteggio Indicatori di Performance sui dati consuntivi 2022</t>
  </si>
  <si>
    <t>Punteggio Indicatori di Performance</t>
  </si>
  <si>
    <t>da col. 11
"per il 2023"</t>
  </si>
  <si>
    <t>da col. 19:
"per il 2024"</t>
  </si>
  <si>
    <t>Ordinamento per codice NSIS</t>
  </si>
  <si>
    <t>TOTALE variazioni
"per il 2023"
più
"per il 2024"</t>
  </si>
  <si>
    <t>Variazione del Tetto base "per il 2023": da RAD_01 col. 20</t>
  </si>
  <si>
    <t>Variazione del Tetto base "per il 2024": da RAD_02 col. 20</t>
  </si>
  <si>
    <t>ordinamento in base all'INDICE</t>
  </si>
  <si>
    <t>Variazione da applicare sul tetto BASE 2023</t>
  </si>
  <si>
    <t>Variazione da applicare sul tetto BASE 2024</t>
  </si>
  <si>
    <t>Tetto NETTO 2024 provv. (**)</t>
  </si>
  <si>
    <t>C.O.M. vigente dal 01.01.2024 (**)</t>
  </si>
  <si>
    <t>(2) Importo di col. 7 diviso per la media semplice degli importi di col. 8 e 9, purchè siano valorizzati entrambi: altrimenti, diviso l'unico imprto valorizzato. Se mancano entrambi, si ha: "n.v." = NON VALORIZZATO</t>
  </si>
  <si>
    <t>(1) Importi di col. 6 rapportati al Tetto Netto complessivo della branca per il 2023, esposto nel rigo di Totale</t>
  </si>
  <si>
    <r>
      <t xml:space="preserve">INDICE: Tetto 2024 Teorico vs Tetto 2023 e Liqu. 2023
</t>
    </r>
    <r>
      <rPr>
        <b/>
        <sz val="10"/>
        <color theme="1"/>
        <rFont val="Calibri"/>
        <family val="2"/>
        <scheme val="minor"/>
      </rPr>
      <t>(2)</t>
    </r>
  </si>
  <si>
    <t>Tetto di spesa NETTA 2023
(2)</t>
  </si>
  <si>
    <t>Tetto Teorico 2024
(1) (3)</t>
  </si>
  <si>
    <t>Subtot con variaz finale (+)</t>
  </si>
  <si>
    <t>Subtot con variaz finale (=)</t>
  </si>
  <si>
    <t>Subtot con variaz finale (-)</t>
  </si>
  <si>
    <t>(1°: + 2%;   2°: 0%;   3°: -2%)</t>
  </si>
  <si>
    <t>CENTRO ANTIDIAB.A.I.D. SRL</t>
  </si>
  <si>
    <t>CENTRO POLIDIAGNOSTICO LEPANTO S.N.C.</t>
  </si>
  <si>
    <t>LEGA ITALIANA DIABETE - L.I.D. CENTRO ANTIDIABETICO</t>
  </si>
  <si>
    <t>C.A.D. - CENTRO ASSISTENZA DIABETICI S.A.S.</t>
  </si>
  <si>
    <t>SPES S.R.L. ANALISI CLINICHE</t>
  </si>
  <si>
    <t>ISTITUTO DIAGNOSTICA DEL PROF. FUMO ERRICO &amp; C .  S.R.L.</t>
  </si>
  <si>
    <r>
      <t xml:space="preserve">Tetto Base 2023 da:
</t>
    </r>
    <r>
      <rPr>
        <b/>
        <sz val="8"/>
        <color theme="1"/>
        <rFont val="Calibri"/>
        <family val="2"/>
        <scheme val="minor"/>
      </rPr>
      <t xml:space="preserve"> AD_01 col 21</t>
    </r>
  </si>
  <si>
    <r>
      <t xml:space="preserve">Tetto Base 2024 da:
</t>
    </r>
    <r>
      <rPr>
        <b/>
        <sz val="8"/>
        <color theme="1"/>
        <rFont val="Calibri"/>
        <family val="2"/>
        <scheme val="minor"/>
      </rPr>
      <t xml:space="preserve"> AD_02 col 21</t>
    </r>
  </si>
  <si>
    <t>DIABETOLOGIA: conteggio del "tetto BASE" 2023 in relazione alla COM al 01.01.2023 e al TETTO e alla produzione 2022</t>
  </si>
  <si>
    <t>DIABETOLOGIA</t>
  </si>
  <si>
    <t>A.N.A.D. SAS</t>
  </si>
  <si>
    <t xml:space="preserve">A.N.A.D. SAS </t>
  </si>
  <si>
    <t>NAPOLI 1 CENTRO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</si>
</sst>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000000"/>
    <numFmt numFmtId="165" formatCode="#,##0.000"/>
    <numFmt numFmtId="166" formatCode="0.0%"/>
    <numFmt numFmtId="167" formatCode="_-* #,##0_-;\-* #,##0_-;_-* &quot;-&quot;??_-;_-@_-"/>
    <numFmt numFmtId="168" formatCode="#,##0.000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1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11" fillId="0" borderId="0"/>
    <xf numFmtId="43" fontId="1" fillId="0" borderId="0" applyFont="0" applyFill="0" applyBorder="0" applyAlignment="0" applyProtection="0"/>
  </cellStyleXfs>
  <cellXfs count="164">
    <xf numFmtId="0" fontId="0" fillId="0" borderId="0" xfId="0"/>
    <xf numFmtId="3" fontId="0" fillId="0" borderId="0" xfId="0" applyNumberFormat="1"/>
    <xf numFmtId="3" fontId="0" fillId="0" borderId="0" xfId="0" applyNumberFormat="1" applyAlignment="1">
      <alignment horizontal="left"/>
    </xf>
    <xf numFmtId="164" fontId="0" fillId="0" borderId="0" xfId="0" applyNumberFormat="1" applyAlignment="1">
      <alignment horizontal="center"/>
    </xf>
    <xf numFmtId="3" fontId="0" fillId="0" borderId="1" xfId="1" applyNumberFormat="1" applyFont="1" applyFill="1" applyBorder="1"/>
    <xf numFmtId="3" fontId="0" fillId="0" borderId="0" xfId="1" applyNumberFormat="1" applyFont="1" applyFill="1"/>
    <xf numFmtId="164" fontId="0" fillId="0" borderId="0" xfId="0" applyNumberFormat="1" applyFill="1" applyAlignment="1">
      <alignment horizontal="center"/>
    </xf>
    <xf numFmtId="3" fontId="4" fillId="0" borderId="0" xfId="0" applyNumberFormat="1" applyFont="1" applyFill="1"/>
    <xf numFmtId="3" fontId="3" fillId="2" borderId="1" xfId="0" applyNumberFormat="1" applyFont="1" applyFill="1" applyBorder="1" applyAlignment="1">
      <alignment horizontal="center" wrapText="1"/>
    </xf>
    <xf numFmtId="3" fontId="5" fillId="2" borderId="1" xfId="0" applyNumberFormat="1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9" fontId="0" fillId="0" borderId="0" xfId="1" applyFont="1"/>
    <xf numFmtId="3" fontId="2" fillId="2" borderId="0" xfId="0" applyNumberFormat="1" applyFont="1" applyFill="1"/>
    <xf numFmtId="3" fontId="0" fillId="0" borderId="0" xfId="0" quotePrefix="1" applyNumberFormat="1" applyAlignment="1">
      <alignment horizontal="right"/>
    </xf>
    <xf numFmtId="3" fontId="8" fillId="2" borderId="0" xfId="0" applyNumberFormat="1" applyFont="1" applyFill="1"/>
    <xf numFmtId="3" fontId="8" fillId="2" borderId="0" xfId="0" applyNumberFormat="1" applyFont="1" applyFill="1" applyAlignment="1">
      <alignment horizontal="right"/>
    </xf>
    <xf numFmtId="3" fontId="0" fillId="0" borderId="1" xfId="0" applyNumberFormat="1" applyBorder="1"/>
    <xf numFmtId="3" fontId="0" fillId="4" borderId="1" xfId="1" applyNumberFormat="1" applyFont="1" applyFill="1" applyBorder="1"/>
    <xf numFmtId="3" fontId="0" fillId="5" borderId="1" xfId="1" applyNumberFormat="1" applyFont="1" applyFill="1" applyBorder="1"/>
    <xf numFmtId="3" fontId="0" fillId="2" borderId="1" xfId="0" applyNumberFormat="1" applyFill="1" applyBorder="1"/>
    <xf numFmtId="4" fontId="4" fillId="6" borderId="1" xfId="0" applyNumberFormat="1" applyFont="1" applyFill="1" applyBorder="1" applyAlignment="1">
      <alignment horizontal="center" wrapText="1"/>
    </xf>
    <xf numFmtId="3" fontId="3" fillId="0" borderId="0" xfId="0" applyNumberFormat="1" applyFont="1" applyAlignment="1">
      <alignment horizontal="left"/>
    </xf>
    <xf numFmtId="3" fontId="4" fillId="0" borderId="0" xfId="0" applyNumberFormat="1" applyFont="1"/>
    <xf numFmtId="3" fontId="0" fillId="4" borderId="0" xfId="0" applyNumberFormat="1" applyFill="1"/>
    <xf numFmtId="3" fontId="0" fillId="5" borderId="0" xfId="0" applyNumberFormat="1" applyFill="1"/>
    <xf numFmtId="3" fontId="0" fillId="5" borderId="0" xfId="0" applyNumberFormat="1" applyFill="1" applyAlignment="1">
      <alignment horizontal="center"/>
    </xf>
    <xf numFmtId="165" fontId="4" fillId="2" borderId="0" xfId="0" applyNumberFormat="1" applyFont="1" applyFill="1" applyAlignment="1">
      <alignment horizontal="center"/>
    </xf>
    <xf numFmtId="3" fontId="4" fillId="2" borderId="0" xfId="0" applyNumberFormat="1" applyFont="1" applyFill="1"/>
    <xf numFmtId="3" fontId="0" fillId="2" borderId="0" xfId="0" quotePrefix="1" applyNumberFormat="1" applyFill="1"/>
    <xf numFmtId="4" fontId="4" fillId="0" borderId="1" xfId="0" applyNumberFormat="1" applyFont="1" applyBorder="1" applyAlignment="1">
      <alignment horizontal="center" wrapText="1"/>
    </xf>
    <xf numFmtId="3" fontId="3" fillId="0" borderId="1" xfId="0" applyNumberFormat="1" applyFont="1" applyBorder="1" applyAlignment="1">
      <alignment horizontal="center"/>
    </xf>
    <xf numFmtId="3" fontId="0" fillId="0" borderId="0" xfId="0" applyNumberFormat="1" applyFill="1"/>
    <xf numFmtId="9" fontId="8" fillId="2" borderId="1" xfId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left"/>
    </xf>
    <xf numFmtId="164" fontId="3" fillId="0" borderId="1" xfId="0" applyNumberFormat="1" applyFont="1" applyBorder="1" applyAlignment="1">
      <alignment horizontal="center"/>
    </xf>
    <xf numFmtId="3" fontId="7" fillId="0" borderId="9" xfId="0" applyNumberFormat="1" applyFont="1" applyBorder="1" applyAlignment="1">
      <alignment horizontal="left"/>
    </xf>
    <xf numFmtId="3" fontId="14" fillId="0" borderId="10" xfId="0" applyNumberFormat="1" applyFont="1" applyBorder="1" applyAlignment="1">
      <alignment horizontal="left" vertical="center"/>
    </xf>
    <xf numFmtId="3" fontId="14" fillId="0" borderId="10" xfId="0" applyNumberFormat="1" applyFont="1" applyBorder="1" applyAlignment="1">
      <alignment horizontal="left"/>
    </xf>
    <xf numFmtId="3" fontId="3" fillId="4" borderId="0" xfId="0" applyNumberFormat="1" applyFont="1" applyFill="1"/>
    <xf numFmtId="0" fontId="17" fillId="4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Border="1" applyAlignment="1">
      <alignment horizontal="center" vertical="center"/>
    </xf>
    <xf numFmtId="3" fontId="18" fillId="0" borderId="0" xfId="0" applyNumberFormat="1" applyFont="1" applyAlignment="1">
      <alignment horizontal="center"/>
    </xf>
    <xf numFmtId="164" fontId="19" fillId="0" borderId="0" xfId="0" applyNumberFormat="1" applyFont="1" applyAlignment="1">
      <alignment horizontal="left" vertical="top"/>
    </xf>
    <xf numFmtId="9" fontId="0" fillId="0" borderId="1" xfId="1" applyFont="1" applyBorder="1" applyAlignment="1">
      <alignment horizontal="center"/>
    </xf>
    <xf numFmtId="3" fontId="3" fillId="7" borderId="1" xfId="0" applyNumberFormat="1" applyFont="1" applyFill="1" applyBorder="1"/>
    <xf numFmtId="9" fontId="3" fillId="0" borderId="0" xfId="1" applyFont="1" applyAlignment="1">
      <alignment horizontal="center"/>
    </xf>
    <xf numFmtId="164" fontId="20" fillId="0" borderId="0" xfId="0" applyNumberFormat="1" applyFont="1" applyAlignment="1">
      <alignment horizontal="left" vertical="top"/>
    </xf>
    <xf numFmtId="3" fontId="10" fillId="0" borderId="0" xfId="0" applyNumberFormat="1" applyFont="1"/>
    <xf numFmtId="3" fontId="16" fillId="2" borderId="1" xfId="0" applyNumberFormat="1" applyFont="1" applyFill="1" applyBorder="1" applyAlignment="1">
      <alignment horizontal="center" wrapText="1"/>
    </xf>
    <xf numFmtId="164" fontId="0" fillId="0" borderId="0" xfId="0" quotePrefix="1" applyNumberFormat="1" applyAlignment="1">
      <alignment horizontal="left"/>
    </xf>
    <xf numFmtId="3" fontId="0" fillId="0" borderId="0" xfId="0" applyNumberFormat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0" fontId="17" fillId="5" borderId="1" xfId="0" applyNumberFormat="1" applyFont="1" applyFill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/>
    </xf>
    <xf numFmtId="3" fontId="16" fillId="4" borderId="1" xfId="0" applyNumberFormat="1" applyFont="1" applyFill="1" applyBorder="1" applyAlignment="1">
      <alignment horizontal="center" vertical="center" wrapText="1"/>
    </xf>
    <xf numFmtId="3" fontId="0" fillId="4" borderId="0" xfId="0" quotePrefix="1" applyNumberFormat="1" applyFill="1"/>
    <xf numFmtId="3" fontId="7" fillId="0" borderId="14" xfId="0" applyNumberFormat="1" applyFont="1" applyBorder="1" applyAlignment="1">
      <alignment horizontal="left" vertical="center"/>
    </xf>
    <xf numFmtId="3" fontId="7" fillId="0" borderId="9" xfId="0" applyNumberFormat="1" applyFont="1" applyBorder="1" applyAlignment="1">
      <alignment horizontal="left" vertical="center"/>
    </xf>
    <xf numFmtId="164" fontId="3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left" vertical="center"/>
    </xf>
    <xf numFmtId="3" fontId="12" fillId="0" borderId="1" xfId="0" applyNumberFormat="1" applyFont="1" applyBorder="1" applyAlignment="1">
      <alignment horizontal="center" vertical="center"/>
    </xf>
    <xf numFmtId="3" fontId="0" fillId="5" borderId="1" xfId="0" applyNumberFormat="1" applyFill="1" applyBorder="1" applyAlignment="1">
      <alignment horizontal="center" vertical="center"/>
    </xf>
    <xf numFmtId="3" fontId="15" fillId="4" borderId="1" xfId="0" applyNumberFormat="1" applyFont="1" applyFill="1" applyBorder="1" applyAlignment="1">
      <alignment horizontal="center" vertical="center" wrapText="1"/>
    </xf>
    <xf numFmtId="3" fontId="0" fillId="0" borderId="0" xfId="0" applyNumberFormat="1" applyAlignment="1">
      <alignment vertical="center"/>
    </xf>
    <xf numFmtId="3" fontId="14" fillId="0" borderId="9" xfId="0" applyNumberFormat="1" applyFont="1" applyBorder="1" applyAlignment="1">
      <alignment horizontal="left" vertical="center"/>
    </xf>
    <xf numFmtId="3" fontId="12" fillId="0" borderId="1" xfId="0" applyNumberFormat="1" applyFont="1" applyFill="1" applyBorder="1" applyAlignment="1">
      <alignment horizontal="center" vertical="center" wrapText="1"/>
    </xf>
    <xf numFmtId="3" fontId="0" fillId="5" borderId="7" xfId="0" applyNumberFormat="1" applyFill="1" applyBorder="1"/>
    <xf numFmtId="3" fontId="3" fillId="2" borderId="1" xfId="0" applyNumberFormat="1" applyFont="1" applyFill="1" applyBorder="1" applyAlignment="1">
      <alignment horizontal="center" vertical="center" wrapText="1"/>
    </xf>
    <xf numFmtId="3" fontId="5" fillId="2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7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/>
    </xf>
    <xf numFmtId="3" fontId="0" fillId="0" borderId="0" xfId="0" applyNumberFormat="1" applyFill="1" applyAlignment="1">
      <alignment vertical="center"/>
    </xf>
    <xf numFmtId="3" fontId="12" fillId="0" borderId="14" xfId="0" applyNumberFormat="1" applyFont="1" applyFill="1" applyBorder="1" applyAlignment="1">
      <alignment horizontal="center" vertical="center" wrapText="1"/>
    </xf>
    <xf numFmtId="3" fontId="0" fillId="0" borderId="1" xfId="0" applyNumberFormat="1" applyFill="1" applyBorder="1"/>
    <xf numFmtId="164" fontId="3" fillId="0" borderId="0" xfId="0" quotePrefix="1" applyNumberFormat="1" applyFont="1" applyAlignment="1">
      <alignment horizontal="left"/>
    </xf>
    <xf numFmtId="3" fontId="0" fillId="0" borderId="0" xfId="0" quotePrefix="1" applyNumberFormat="1"/>
    <xf numFmtId="166" fontId="0" fillId="0" borderId="0" xfId="1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164" fontId="0" fillId="0" borderId="0" xfId="0" applyNumberFormat="1" applyAlignment="1">
      <alignment horizontal="center"/>
    </xf>
    <xf numFmtId="3" fontId="0" fillId="0" borderId="0" xfId="0" applyNumberFormat="1"/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 wrapText="1"/>
    </xf>
    <xf numFmtId="3" fontId="0" fillId="0" borderId="1" xfId="0" applyNumberFormat="1" applyBorder="1"/>
    <xf numFmtId="3" fontId="4" fillId="2" borderId="0" xfId="0" applyNumberFormat="1" applyFont="1" applyFill="1"/>
    <xf numFmtId="167" fontId="0" fillId="0" borderId="21" xfId="3" applyNumberFormat="1" applyFont="1" applyBorder="1" applyProtection="1">
      <protection hidden="1"/>
    </xf>
    <xf numFmtId="3" fontId="0" fillId="2" borderId="0" xfId="0" applyNumberFormat="1" applyFill="1" applyAlignment="1">
      <alignment horizontal="right"/>
    </xf>
    <xf numFmtId="3" fontId="0" fillId="0" borderId="0" xfId="0" applyNumberFormat="1" applyFill="1" applyAlignment="1">
      <alignment horizontal="right"/>
    </xf>
    <xf numFmtId="165" fontId="0" fillId="0" borderId="0" xfId="0" applyNumberFormat="1"/>
    <xf numFmtId="1" fontId="0" fillId="0" borderId="0" xfId="0" applyNumberFormat="1" applyFont="1" applyFill="1" applyAlignment="1">
      <alignment horizontal="center" vertical="center"/>
    </xf>
    <xf numFmtId="4" fontId="0" fillId="0" borderId="0" xfId="0" applyNumberFormat="1"/>
    <xf numFmtId="4" fontId="4" fillId="0" borderId="0" xfId="0" applyNumberFormat="1" applyFont="1"/>
    <xf numFmtId="0" fontId="21" fillId="0" borderId="1" xfId="0" applyNumberFormat="1" applyFont="1" applyFill="1" applyBorder="1" applyAlignment="1">
      <alignment vertical="center"/>
    </xf>
    <xf numFmtId="49" fontId="21" fillId="0" borderId="1" xfId="0" applyNumberFormat="1" applyFont="1" applyFill="1" applyBorder="1" applyAlignment="1">
      <alignment vertical="center"/>
    </xf>
    <xf numFmtId="164" fontId="4" fillId="0" borderId="0" xfId="0" applyNumberFormat="1" applyFont="1" applyFill="1" applyBorder="1" applyAlignment="1">
      <alignment horizontal="center" vertical="center"/>
    </xf>
    <xf numFmtId="3" fontId="0" fillId="0" borderId="0" xfId="0" quotePrefix="1" applyNumberFormat="1" applyFill="1" applyBorder="1"/>
    <xf numFmtId="3" fontId="0" fillId="0" borderId="0" xfId="0" applyNumberFormat="1" applyFill="1" applyBorder="1"/>
    <xf numFmtId="3" fontId="2" fillId="0" borderId="0" xfId="0" applyNumberFormat="1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3" fontId="0" fillId="2" borderId="0" xfId="0" applyNumberFormat="1" applyFill="1"/>
    <xf numFmtId="3" fontId="3" fillId="0" borderId="1" xfId="0" applyNumberFormat="1" applyFont="1" applyBorder="1" applyAlignment="1">
      <alignment horizontal="center" vertical="center" wrapText="1"/>
    </xf>
    <xf numFmtId="3" fontId="12" fillId="0" borderId="1" xfId="0" applyNumberFormat="1" applyFont="1" applyBorder="1" applyAlignment="1">
      <alignment horizontal="center" vertical="center" wrapText="1"/>
    </xf>
    <xf numFmtId="3" fontId="16" fillId="0" borderId="1" xfId="0" applyNumberFormat="1" applyFont="1" applyBorder="1" applyAlignment="1">
      <alignment horizontal="center" vertical="center" wrapText="1"/>
    </xf>
    <xf numFmtId="3" fontId="12" fillId="0" borderId="7" xfId="0" applyNumberFormat="1" applyFont="1" applyBorder="1" applyAlignment="1">
      <alignment horizontal="center" vertical="center" wrapText="1"/>
    </xf>
    <xf numFmtId="3" fontId="12" fillId="0" borderId="8" xfId="0" applyNumberFormat="1" applyFont="1" applyBorder="1" applyAlignment="1">
      <alignment horizontal="center" vertical="center" wrapText="1"/>
    </xf>
    <xf numFmtId="3" fontId="12" fillId="0" borderId="4" xfId="0" applyNumberFormat="1" applyFont="1" applyBorder="1" applyAlignment="1">
      <alignment horizontal="center" vertical="center" wrapText="1"/>
    </xf>
    <xf numFmtId="3" fontId="6" fillId="0" borderId="7" xfId="0" applyNumberFormat="1" applyFont="1" applyBorder="1" applyAlignment="1">
      <alignment horizontal="center" vertical="center" wrapText="1"/>
    </xf>
    <xf numFmtId="3" fontId="6" fillId="0" borderId="8" xfId="0" applyNumberFormat="1" applyFont="1" applyBorder="1" applyAlignment="1">
      <alignment horizontal="center" vertical="center" wrapText="1"/>
    </xf>
    <xf numFmtId="3" fontId="6" fillId="0" borderId="4" xfId="0" applyNumberFormat="1" applyFont="1" applyBorder="1" applyAlignment="1">
      <alignment horizontal="center" vertical="center" wrapText="1"/>
    </xf>
    <xf numFmtId="3" fontId="9" fillId="0" borderId="5" xfId="0" applyNumberFormat="1" applyFont="1" applyBorder="1" applyAlignment="1">
      <alignment horizontal="center" wrapText="1"/>
    </xf>
    <xf numFmtId="3" fontId="9" fillId="0" borderId="2" xfId="0" applyNumberFormat="1" applyFont="1" applyBorder="1" applyAlignment="1">
      <alignment horizontal="center" wrapText="1"/>
    </xf>
    <xf numFmtId="3" fontId="7" fillId="2" borderId="1" xfId="0" applyNumberFormat="1" applyFont="1" applyFill="1" applyBorder="1" applyAlignment="1">
      <alignment horizontal="center"/>
    </xf>
    <xf numFmtId="3" fontId="13" fillId="0" borderId="7" xfId="2" applyNumberFormat="1" applyFont="1" applyFill="1" applyBorder="1" applyAlignment="1">
      <alignment horizontal="center" vertical="center" wrapText="1"/>
    </xf>
    <xf numFmtId="3" fontId="13" fillId="0" borderId="8" xfId="2" applyNumberFormat="1" applyFont="1" applyFill="1" applyBorder="1" applyAlignment="1">
      <alignment horizontal="center" vertical="center" wrapText="1"/>
    </xf>
    <xf numFmtId="3" fontId="13" fillId="0" borderId="4" xfId="2" applyNumberFormat="1" applyFont="1" applyFill="1" applyBorder="1" applyAlignment="1">
      <alignment horizontal="center" vertical="center" wrapText="1"/>
    </xf>
    <xf numFmtId="3" fontId="10" fillId="0" borderId="6" xfId="0" applyNumberFormat="1" applyFont="1" applyBorder="1" applyAlignment="1">
      <alignment horizontal="center" wrapText="1"/>
    </xf>
    <xf numFmtId="3" fontId="10" fillId="0" borderId="3" xfId="0" applyNumberFormat="1" applyFont="1" applyBorder="1" applyAlignment="1">
      <alignment horizontal="center" wrapText="1"/>
    </xf>
    <xf numFmtId="3" fontId="16" fillId="3" borderId="13" xfId="0" applyNumberFormat="1" applyFont="1" applyFill="1" applyBorder="1" applyAlignment="1">
      <alignment horizontal="center" vertical="center" wrapText="1"/>
    </xf>
    <xf numFmtId="3" fontId="16" fillId="3" borderId="12" xfId="0" applyNumberFormat="1" applyFont="1" applyFill="1" applyBorder="1" applyAlignment="1">
      <alignment horizontal="center" vertical="center" wrapText="1"/>
    </xf>
    <xf numFmtId="3" fontId="16" fillId="3" borderId="11" xfId="0" applyNumberFormat="1" applyFont="1" applyFill="1" applyBorder="1" applyAlignment="1">
      <alignment horizontal="center" vertical="center" wrapText="1"/>
    </xf>
    <xf numFmtId="3" fontId="3" fillId="5" borderId="7" xfId="0" applyNumberFormat="1" applyFont="1" applyFill="1" applyBorder="1" applyAlignment="1">
      <alignment horizontal="center" vertical="center" wrapText="1"/>
    </xf>
    <xf numFmtId="3" fontId="3" fillId="5" borderId="4" xfId="0" applyNumberFormat="1" applyFont="1" applyFill="1" applyBorder="1" applyAlignment="1">
      <alignment horizontal="center" vertical="center" wrapText="1"/>
    </xf>
    <xf numFmtId="3" fontId="15" fillId="5" borderId="1" xfId="0" applyNumberFormat="1" applyFont="1" applyFill="1" applyBorder="1" applyAlignment="1">
      <alignment horizontal="center" vertical="center"/>
    </xf>
    <xf numFmtId="3" fontId="16" fillId="0" borderId="7" xfId="0" applyNumberFormat="1" applyFont="1" applyBorder="1" applyAlignment="1">
      <alignment horizontal="center" vertical="center" wrapText="1"/>
    </xf>
    <xf numFmtId="3" fontId="14" fillId="4" borderId="15" xfId="0" applyNumberFormat="1" applyFont="1" applyFill="1" applyBorder="1" applyAlignment="1">
      <alignment horizontal="center" vertical="center" wrapText="1"/>
    </xf>
    <xf numFmtId="3" fontId="14" fillId="4" borderId="16" xfId="0" applyNumberFormat="1" applyFont="1" applyFill="1" applyBorder="1" applyAlignment="1">
      <alignment horizontal="center" vertical="center" wrapText="1"/>
    </xf>
    <xf numFmtId="3" fontId="14" fillId="4" borderId="17" xfId="0" applyNumberFormat="1" applyFont="1" applyFill="1" applyBorder="1" applyAlignment="1">
      <alignment horizontal="center" vertical="center" wrapText="1"/>
    </xf>
    <xf numFmtId="3" fontId="14" fillId="4" borderId="18" xfId="0" applyNumberFormat="1" applyFont="1" applyFill="1" applyBorder="1" applyAlignment="1">
      <alignment horizontal="center" vertical="center" wrapText="1"/>
    </xf>
    <xf numFmtId="3" fontId="14" fillId="4" borderId="19" xfId="0" applyNumberFormat="1" applyFont="1" applyFill="1" applyBorder="1" applyAlignment="1">
      <alignment horizontal="center" vertical="center" wrapText="1"/>
    </xf>
    <xf numFmtId="3" fontId="14" fillId="4" borderId="20" xfId="0" applyNumberFormat="1" applyFont="1" applyFill="1" applyBorder="1" applyAlignment="1">
      <alignment horizontal="center" vertical="center" wrapText="1"/>
    </xf>
    <xf numFmtId="3" fontId="12" fillId="5" borderId="10" xfId="0" applyNumberFormat="1" applyFont="1" applyFill="1" applyBorder="1" applyAlignment="1">
      <alignment horizontal="center" vertical="center" wrapText="1"/>
    </xf>
    <xf numFmtId="3" fontId="12" fillId="5" borderId="9" xfId="0" applyNumberFormat="1" applyFont="1" applyFill="1" applyBorder="1" applyAlignment="1">
      <alignment horizontal="center" vertical="center" wrapText="1"/>
    </xf>
    <xf numFmtId="3" fontId="12" fillId="5" borderId="14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vertical="center" wrapText="1"/>
    </xf>
    <xf numFmtId="3" fontId="6" fillId="5" borderId="1" xfId="0" applyNumberFormat="1" applyFont="1" applyFill="1" applyBorder="1" applyAlignment="1">
      <alignment horizontal="center" wrapText="1"/>
    </xf>
    <xf numFmtId="3" fontId="15" fillId="5" borderId="1" xfId="0" applyNumberFormat="1" applyFont="1" applyFill="1" applyBorder="1" applyAlignment="1">
      <alignment horizontal="center"/>
    </xf>
    <xf numFmtId="3" fontId="12" fillId="0" borderId="1" xfId="0" applyNumberFormat="1" applyFont="1" applyBorder="1" applyAlignment="1">
      <alignment horizontal="center" wrapText="1"/>
    </xf>
    <xf numFmtId="3" fontId="6" fillId="0" borderId="1" xfId="0" applyNumberFormat="1" applyFont="1" applyBorder="1" applyAlignment="1">
      <alignment horizontal="center" vertical="center" wrapText="1"/>
    </xf>
    <xf numFmtId="3" fontId="12" fillId="5" borderId="7" xfId="0" applyNumberFormat="1" applyFont="1" applyFill="1" applyBorder="1" applyAlignment="1">
      <alignment horizontal="center" vertical="center" wrapText="1"/>
    </xf>
    <xf numFmtId="3" fontId="12" fillId="5" borderId="4" xfId="0" applyNumberFormat="1" applyFont="1" applyFill="1" applyBorder="1" applyAlignment="1">
      <alignment horizontal="center" vertical="center" wrapText="1"/>
    </xf>
    <xf numFmtId="3" fontId="17" fillId="2" borderId="10" xfId="0" applyNumberFormat="1" applyFont="1" applyFill="1" applyBorder="1" applyAlignment="1">
      <alignment horizontal="center"/>
    </xf>
    <xf numFmtId="3" fontId="17" fillId="2" borderId="9" xfId="0" applyNumberFormat="1" applyFont="1" applyFill="1" applyBorder="1" applyAlignment="1">
      <alignment horizontal="center"/>
    </xf>
    <xf numFmtId="3" fontId="17" fillId="2" borderId="14" xfId="0" applyNumberFormat="1" applyFont="1" applyFill="1" applyBorder="1" applyAlignment="1">
      <alignment horizontal="center"/>
    </xf>
    <xf numFmtId="3" fontId="12" fillId="5" borderId="1" xfId="0" applyNumberFormat="1" applyFont="1" applyFill="1" applyBorder="1" applyAlignment="1">
      <alignment horizontal="center" vertical="center" wrapText="1"/>
    </xf>
    <xf numFmtId="3" fontId="3" fillId="5" borderId="1" xfId="0" applyNumberFormat="1" applyFont="1" applyFill="1" applyBorder="1" applyAlignment="1">
      <alignment horizontal="center" vertical="center" wrapText="1"/>
    </xf>
    <xf numFmtId="3" fontId="12" fillId="0" borderId="7" xfId="0" applyNumberFormat="1" applyFont="1" applyFill="1" applyBorder="1" applyAlignment="1">
      <alignment horizontal="center" vertical="center" wrapText="1"/>
    </xf>
    <xf numFmtId="3" fontId="12" fillId="0" borderId="8" xfId="0" applyNumberFormat="1" applyFont="1" applyFill="1" applyBorder="1" applyAlignment="1">
      <alignment horizontal="center" vertical="center" wrapText="1"/>
    </xf>
    <xf numFmtId="3" fontId="12" fillId="0" borderId="4" xfId="0" applyNumberFormat="1" applyFont="1" applyFill="1" applyBorder="1" applyAlignment="1">
      <alignment horizontal="center" vertical="center" wrapText="1"/>
    </xf>
    <xf numFmtId="3" fontId="12" fillId="0" borderId="1" xfId="0" applyNumberFormat="1" applyFont="1" applyFill="1" applyBorder="1" applyAlignment="1">
      <alignment horizontal="center" vertical="center" wrapText="1"/>
    </xf>
    <xf numFmtId="3" fontId="6" fillId="7" borderId="1" xfId="0" applyNumberFormat="1" applyFont="1" applyFill="1" applyBorder="1" applyAlignment="1">
      <alignment horizontal="center" vertical="center" wrapText="1"/>
    </xf>
    <xf numFmtId="3" fontId="12" fillId="0" borderId="16" xfId="0" applyNumberFormat="1" applyFont="1" applyFill="1" applyBorder="1" applyAlignment="1">
      <alignment horizontal="center" vertical="center" wrapText="1"/>
    </xf>
    <xf numFmtId="3" fontId="12" fillId="0" borderId="17" xfId="0" applyNumberFormat="1" applyFont="1" applyFill="1" applyBorder="1" applyAlignment="1">
      <alignment horizontal="center" vertical="center" wrapText="1"/>
    </xf>
    <xf numFmtId="3" fontId="12" fillId="0" borderId="19" xfId="0" applyNumberFormat="1" applyFont="1" applyFill="1" applyBorder="1" applyAlignment="1">
      <alignment horizontal="center" vertical="center" wrapText="1"/>
    </xf>
    <xf numFmtId="3" fontId="12" fillId="0" borderId="20" xfId="0" applyNumberFormat="1" applyFont="1" applyFill="1" applyBorder="1" applyAlignment="1">
      <alignment horizontal="center" vertical="center" wrapText="1"/>
    </xf>
    <xf numFmtId="3" fontId="3" fillId="0" borderId="1" xfId="0" applyNumberFormat="1" applyFont="1" applyFill="1" applyBorder="1" applyAlignment="1">
      <alignment horizontal="center" vertical="center" wrapText="1"/>
    </xf>
    <xf numFmtId="165" fontId="4" fillId="0" borderId="0" xfId="0" applyNumberFormat="1" applyFont="1" applyFill="1" applyAlignment="1">
      <alignment horizontal="center"/>
    </xf>
    <xf numFmtId="168" fontId="0" fillId="0" borderId="0" xfId="0" applyNumberFormat="1" applyFill="1"/>
    <xf numFmtId="168" fontId="0" fillId="0" borderId="0" xfId="0" applyNumberFormat="1" applyFill="1" applyAlignment="1">
      <alignment horizontal="center"/>
    </xf>
    <xf numFmtId="165" fontId="0" fillId="0" borderId="0" xfId="0" applyNumberFormat="1" applyFill="1" applyAlignment="1">
      <alignment horizontal="right"/>
    </xf>
    <xf numFmtId="164" fontId="0" fillId="0" borderId="0" xfId="0" applyNumberFormat="1" applyFill="1" applyAlignment="1">
      <alignment horizontal="right"/>
    </xf>
    <xf numFmtId="3" fontId="4" fillId="0" borderId="0" xfId="0" applyNumberFormat="1" applyFont="1" applyFill="1" applyAlignment="1">
      <alignment horizontal="right"/>
    </xf>
    <xf numFmtId="165" fontId="0" fillId="0" borderId="0" xfId="0" applyNumberFormat="1" applyFill="1"/>
  </cellXfs>
  <cellStyles count="4">
    <cellStyle name="Migliaia 2" xfId="3"/>
    <cellStyle name="Normale" xfId="0" builtinId="0"/>
    <cellStyle name="Normale_ALLEGATO n. 1" xfId="2"/>
    <cellStyle name="Percentual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Zazzaro\Documenti\OO.SS.%20e%20Associaz_6216\PIANO%202011\AIOP\ACCORDO%2022-6-2011\Decreto%20n.%2084%20del%2020.12.2011\Allegato%20n.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urizio.cartalemi/Desktop/Tetti%202025/Diabetologia/Diabetologia%20v.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gato 2"/>
      <sheetName val="proiez 2011"/>
      <sheetName val="allegato 3 calcoli ARSan alta s"/>
      <sheetName val="calcoli terapie intensive"/>
      <sheetName val="calcoli riabilitazione"/>
      <sheetName val="calcoli ARSan alta specialità"/>
      <sheetName val="ESITO 2010"/>
      <sheetName val="Casa di cura Cobellis"/>
    </sheetNames>
    <sheetDataSet>
      <sheetData sheetId="0">
        <row r="1">
          <cell r="B1" t="str">
            <v>Importi in EURO</v>
          </cell>
        </row>
      </sheetData>
      <sheetData sheetId="1">
        <row r="1">
          <cell r="B1" t="str">
            <v>Importi in EURO</v>
          </cell>
        </row>
      </sheetData>
      <sheetData sheetId="2"/>
      <sheetData sheetId="3">
        <row r="1">
          <cell r="B1" t="str">
            <v>Importi in EURO</v>
          </cell>
        </row>
      </sheetData>
      <sheetData sheetId="4">
        <row r="1">
          <cell r="B1" t="str">
            <v>Importi in EURO</v>
          </cell>
        </row>
      </sheetData>
      <sheetData sheetId="5">
        <row r="1">
          <cell r="B1" t="str">
            <v>Importi in EURO</v>
          </cell>
        </row>
      </sheetData>
      <sheetData sheetId="6">
        <row r="1">
          <cell r="B1" t="str">
            <v>Importi in EURO</v>
          </cell>
        </row>
        <row r="2">
          <cell r="A2" t="str">
            <v>Codice NSIS</v>
          </cell>
          <cell r="B2" t="str">
            <v>Assistenza Ospedaliera erogata dalle Case di Cura private</v>
          </cell>
          <cell r="D2" t="str">
            <v>Passaggio di fascia in corso di verifica (ex decreto n. 65/2010)</v>
          </cell>
          <cell r="E2" t="str">
            <v>Fatturato 2010</v>
          </cell>
          <cell r="F2" t="str">
            <v>Conguagli per passaggi di fascia: decreto n° 62 del 22/8/2011</v>
          </cell>
          <cell r="G2" t="str">
            <v>Contestazioni sulle tariffe</v>
          </cell>
          <cell r="H2" t="str">
            <v>Abbattimenti per superamento soglie</v>
          </cell>
          <cell r="I2" t="str">
            <v>Altre contestazioni per controlli ecc.</v>
          </cell>
          <cell r="J2" t="str">
            <v>Abbattimento dei conguagli di col. (B) in proporzione alle riduzioni di col. (D) ed (E)</v>
          </cell>
          <cell r="K2" t="str">
            <v>NOTE</v>
          </cell>
          <cell r="L2" t="str">
            <v>Fatturato 2010 al netto dei controlli (dati ASL al 9/11/2011)</v>
          </cell>
          <cell r="M2" t="str">
            <v>TETTO 2010 (decreto n. 65 del 22/10/2011)</v>
          </cell>
          <cell r="N2" t="str">
            <v>Fatturato riconoscibile ma eccedente il tetto di spesa</v>
          </cell>
          <cell r="O2" t="str">
            <v>tetto non utilizzato, disponibile per compensazione regionale</v>
          </cell>
          <cell r="P2" t="str">
            <v>Compensazione Regionale ai sensi del decreto 65/2010</v>
          </cell>
          <cell r="Q2" t="str">
            <v>Regressione tariffaria dopo compensazione regionale</v>
          </cell>
          <cell r="R2" t="str">
            <v>Note Credito da emettere vs. la ASL competente (per regressione tariffaria)</v>
          </cell>
          <cell r="S2" t="str">
            <v>Note Credito da emettere vs. la Regione Campania (eventuali)</v>
          </cell>
          <cell r="V2" t="str">
            <v>Tetto di spesa 2011 DCA 23/2011</v>
          </cell>
          <cell r="W2" t="str">
            <v>% Tetto 2011 / Fatturato al netto dei controlli 2010</v>
          </cell>
          <cell r="X2" t="str">
            <v>differenza addendum=(fatturato lordo 2010-Tetto 2010 )*20% per cambio fascia</v>
          </cell>
          <cell r="Y2" t="str">
            <v>riabilitazione</v>
          </cell>
          <cell r="Z2" t="str">
            <v>alta spec</v>
          </cell>
          <cell r="AA2" t="str">
            <v>*Tetto 2011&lt;80% del fatturato al netto dei controlli 2010 si dà il tetto 2010</v>
          </cell>
          <cell r="AB2" t="str">
            <v>integrazione per lavori</v>
          </cell>
          <cell r="AC2" t="str">
            <v>terapie intensive P.L.</v>
          </cell>
          <cell r="AD2" t="str">
            <v>UTIC P.L.</v>
          </cell>
          <cell r="AE2" t="str">
            <v>TIN P.L.</v>
          </cell>
          <cell r="AF2" t="str">
            <v>totale</v>
          </cell>
          <cell r="AG2" t="str">
            <v>importo per terapie intensive</v>
          </cell>
          <cell r="AH2" t="str">
            <v>NUOVO TETTO 2011</v>
          </cell>
          <cell r="AI2" t="str">
            <v>% Nuovo Tetto 2011 / Fatturato liquidabile 2010</v>
          </cell>
          <cell r="AJ2" t="str">
            <v xml:space="preserve"> ipotesi AIOP</v>
          </cell>
          <cell r="AK2" t="str">
            <v>differenza con ipotesi AIOP</v>
          </cell>
        </row>
        <row r="4">
          <cell r="B4" t="str">
            <v>Casa di Cura Villa Esther S.p.A.</v>
          </cell>
        </row>
        <row r="5">
          <cell r="B5" t="str">
            <v>Casa di Cura Villa Maria s.r.l. Baiano</v>
          </cell>
        </row>
        <row r="6">
          <cell r="B6" t="str">
            <v>Casa di Cura S.Rita S.p.A.</v>
          </cell>
        </row>
        <row r="7">
          <cell r="B7" t="str">
            <v>Villa Julie s.r.l. Casa di Cura Villa Maria Mirabella</v>
          </cell>
        </row>
        <row r="8">
          <cell r="B8" t="str">
            <v>Casa di Cura Villa dei Pini S.p.A.</v>
          </cell>
        </row>
        <row r="9">
          <cell r="B9" t="str">
            <v>Casa di Cura Privata Montevergine S.p.A.</v>
          </cell>
        </row>
        <row r="10">
          <cell r="B10" t="str">
            <v>Casa di Cura Privata Malzoni-Villa dei Platani S.p.A.</v>
          </cell>
        </row>
        <row r="11">
          <cell r="B11" t="str">
            <v>TOTALE</v>
          </cell>
        </row>
        <row r="14">
          <cell r="B14" t="str">
            <v>Casa di Cura GE.P.O.S. s.r.l.</v>
          </cell>
        </row>
        <row r="15">
          <cell r="B15" t="str">
            <v>Casa di Cura Nuova Clinica S.Rita S.p.A.</v>
          </cell>
        </row>
        <row r="16">
          <cell r="B16" t="str">
            <v>Casa di cura San Francesco</v>
          </cell>
        </row>
        <row r="17">
          <cell r="B17" t="str">
            <v>C.M.R. S.p.A. Centro Medico Diagnostico e Riabilitaz.</v>
          </cell>
        </row>
        <row r="18">
          <cell r="B18" t="str">
            <v>Casa di Cura Privata Villa Margherita s.r.l.</v>
          </cell>
        </row>
        <row r="19">
          <cell r="B19" t="str">
            <v>TOTALE</v>
          </cell>
        </row>
        <row r="22">
          <cell r="B22" t="str">
            <v>Clinica Sant'Anna s.r.l.</v>
          </cell>
        </row>
        <row r="23">
          <cell r="B23" t="str">
            <v>Casa di Cura Villa Del Sole S.p.A.</v>
          </cell>
        </row>
        <row r="24">
          <cell r="B24" t="str">
            <v>Casa di Cura Villa Fiorita - Aversa S.p.A.</v>
          </cell>
        </row>
        <row r="25">
          <cell r="B25" t="str">
            <v xml:space="preserve">Casa di Cura Alba Clinica S.Paolo </v>
          </cell>
        </row>
        <row r="26">
          <cell r="B26" t="str">
            <v>Casa di Cura Villa Fiorita S.p.A. (Capua)</v>
          </cell>
        </row>
        <row r="27">
          <cell r="B27" t="str">
            <v>Clinica  San Michele s.r.l.</v>
          </cell>
        </row>
        <row r="28">
          <cell r="B28" t="str">
            <v>Casa di Cura  Pineta Grande S.p.A.</v>
          </cell>
        </row>
        <row r="29">
          <cell r="B29" t="str">
            <v xml:space="preserve">Minerva S.p.A. Casa di Cura S. Maria della Salute </v>
          </cell>
        </row>
        <row r="30">
          <cell r="B30" t="str">
            <v>Casa di Cura Villa Dei Pini Atena S.p.A.</v>
          </cell>
        </row>
        <row r="31">
          <cell r="B31" t="str">
            <v>Casa di Cura Villa Ortensia CALES s.r.l.</v>
          </cell>
        </row>
        <row r="32">
          <cell r="B32" t="str">
            <v>GE.IS. s.r.l. Casa di Cura Villa degli Ulivi</v>
          </cell>
        </row>
        <row r="33">
          <cell r="B33" t="str">
            <v>Casa di Cura Villa Delle Magnolie Rerif s.r.l.</v>
          </cell>
        </row>
        <row r="34">
          <cell r="B34" t="str">
            <v>Clinica Padre Pio s.r.l.</v>
          </cell>
        </row>
        <row r="35">
          <cell r="B35" t="str">
            <v>TOTALE</v>
          </cell>
        </row>
        <row r="38">
          <cell r="B38" t="str">
            <v>Casa di Cura Ospedale Internazionale</v>
          </cell>
        </row>
        <row r="39">
          <cell r="B39" t="str">
            <v>Clinica VILLALBA</v>
          </cell>
        </row>
        <row r="40">
          <cell r="B40" t="str">
            <v xml:space="preserve">Alma Mater S.p.A. Casa di Cura Villa Camaldoli </v>
          </cell>
        </row>
        <row r="41">
          <cell r="B41" t="str">
            <v xml:space="preserve">Casa di Cura Villa Angela </v>
          </cell>
        </row>
        <row r="42">
          <cell r="B42" t="str">
            <v>Casa di Cura Clinic Center  S.p.A.</v>
          </cell>
        </row>
        <row r="43">
          <cell r="B43" t="str">
            <v>Casa di Cura Villa Russo</v>
          </cell>
        </row>
        <row r="44">
          <cell r="B44" t="str">
            <v>Casa di Cura Hermitage Capodimonte S.p.A. Colucci</v>
          </cell>
        </row>
        <row r="45">
          <cell r="B45" t="str">
            <v>Casa di Cura Villa Delle Querce</v>
          </cell>
        </row>
        <row r="46">
          <cell r="B46" t="str">
            <v>Clinica Vesuvio s.r.l.</v>
          </cell>
        </row>
        <row r="47">
          <cell r="B47" t="str">
            <v>Casa di Cura Mediterranea S.p.A.</v>
          </cell>
        </row>
        <row r="48">
          <cell r="B48" t="str">
            <v>Clinica Santa Patrizia</v>
          </cell>
        </row>
        <row r="49">
          <cell r="B49" t="str">
            <v>Casa di Cura Villa Cinzia</v>
          </cell>
        </row>
        <row r="50">
          <cell r="B50" t="str">
            <v>Casa di Cura Villa Bianca S.p.A. (ex Tasso)</v>
          </cell>
        </row>
        <row r="51">
          <cell r="B51" t="str">
            <v>Clinica Sanatrix S.p.A.</v>
          </cell>
        </row>
        <row r="52">
          <cell r="B52" t="str">
            <v>Stazione Climatica Bianchi</v>
          </cell>
        </row>
        <row r="53">
          <cell r="B53" t="str">
            <v>Casa di Cura Santo Stefano S.p.A.</v>
          </cell>
        </row>
        <row r="54">
          <cell r="B54" t="str">
            <v>TOTALE</v>
          </cell>
        </row>
        <row r="57">
          <cell r="B57" t="str">
            <v>Casa di Cura Privata Villa Dei Fiori s.r.l. Acerra</v>
          </cell>
        </row>
        <row r="58">
          <cell r="B58" t="str">
            <v>Casa di Cura Villa Majone s.r.l.</v>
          </cell>
        </row>
        <row r="59">
          <cell r="B59" t="str">
            <v xml:space="preserve">Casa di Cura S.Antimo </v>
          </cell>
        </row>
        <row r="60">
          <cell r="B60" t="str">
            <v>Casa di Cura Villa Dei Fiori s.r.l. Mugnano</v>
          </cell>
        </row>
        <row r="61">
          <cell r="B61" t="str">
            <v>TOTALE</v>
          </cell>
        </row>
        <row r="64">
          <cell r="B64" t="str">
            <v>Casa di Cura La Madonnina s.r.l.</v>
          </cell>
        </row>
        <row r="65">
          <cell r="B65" t="str">
            <v>Casa di Cura Nostra Signora di Lourdes S.p.A.</v>
          </cell>
        </row>
        <row r="66">
          <cell r="B66" t="str">
            <v>Casa di Cura S. Maria La Bruna s.r.l.</v>
          </cell>
        </row>
        <row r="67">
          <cell r="B67" t="str">
            <v>Casa di Cura Villa Stabia S.p.A.</v>
          </cell>
        </row>
        <row r="68">
          <cell r="B68" t="str">
            <v>Casa di Cura Villa Elisa S.p.A.</v>
          </cell>
        </row>
        <row r="69">
          <cell r="B69" t="str">
            <v>Casa di Cura Trusso s.r.l.</v>
          </cell>
        </row>
        <row r="70">
          <cell r="B70" t="str">
            <v>Casa di Cura Maria Rosaria S.p.A.</v>
          </cell>
        </row>
        <row r="71">
          <cell r="B71" t="str">
            <v xml:space="preserve">Casa di Cura Santa Lucia s.r.l. </v>
          </cell>
        </row>
        <row r="72">
          <cell r="B72" t="str">
            <v>Casa di Cura Andrea Grimaldi s.r.l.</v>
          </cell>
        </row>
        <row r="73">
          <cell r="B73" t="str">
            <v xml:space="preserve">Casa di Cura Villa Delle Margherite s.n.c. </v>
          </cell>
        </row>
        <row r="74">
          <cell r="B74" t="str">
            <v>Casa di Cura Meluccio s.r.l.</v>
          </cell>
        </row>
        <row r="75">
          <cell r="B75" t="str">
            <v>Casa di Cura Clinica S.Felice s.r.l.</v>
          </cell>
        </row>
        <row r="76">
          <cell r="B76" t="str">
            <v>Casa di Cura S.Maria Del Pozzo C.E.M. S.p.A.</v>
          </cell>
        </row>
        <row r="77">
          <cell r="B77" t="str">
            <v>TOTALE</v>
          </cell>
        </row>
        <row r="80">
          <cell r="B80" t="str">
            <v>Casa di Cura Villa DEL SOLE</v>
          </cell>
        </row>
        <row r="81">
          <cell r="B81" t="str">
            <v>Casa di Cura  Malzoni di Agropoli S.p.A.</v>
          </cell>
        </row>
        <row r="82">
          <cell r="B82" t="str">
            <v>Casa di Cura La Quiete s.r.l.</v>
          </cell>
        </row>
        <row r="83">
          <cell r="B83" t="str">
            <v>Casa di Cura Venosa s.r.l.</v>
          </cell>
        </row>
        <row r="84">
          <cell r="B84" t="str">
            <v>Casa di Cura Salus Battipaglia</v>
          </cell>
        </row>
        <row r="85">
          <cell r="B85" t="str">
            <v>Campolongo Hospital S.p.A. C.E.M.F.R. Eboli</v>
          </cell>
        </row>
        <row r="86">
          <cell r="B86" t="str">
            <v>Clinica Cobellis</v>
          </cell>
        </row>
        <row r="87">
          <cell r="B87" t="str">
            <v>Casa di Cura  Tortorella</v>
          </cell>
        </row>
        <row r="88">
          <cell r="B88" t="str">
            <v>Casa di Cura Villa Chiarugi s.r.l.</v>
          </cell>
        </row>
        <row r="89">
          <cell r="B89" t="str">
            <v>Villa SILBA (da verificare)</v>
          </cell>
        </row>
        <row r="90">
          <cell r="B90" t="str">
            <v>TOTALE</v>
          </cell>
        </row>
        <row r="92">
          <cell r="B92" t="str">
            <v xml:space="preserve">TOTALE per ASL </v>
          </cell>
        </row>
        <row r="93">
          <cell r="B93" t="str">
            <v>AVELLINO</v>
          </cell>
        </row>
        <row r="94">
          <cell r="B94" t="str">
            <v xml:space="preserve">BENEVENTO </v>
          </cell>
        </row>
        <row r="95">
          <cell r="B95" t="str">
            <v xml:space="preserve">CASERTA </v>
          </cell>
        </row>
        <row r="96">
          <cell r="B96" t="str">
            <v>NAPOLI 1 CENTRO</v>
          </cell>
        </row>
        <row r="97">
          <cell r="B97" t="str">
            <v>NAPOLI 2 NORD</v>
          </cell>
        </row>
        <row r="98">
          <cell r="B98" t="str">
            <v>NAPOLI 3 SUD</v>
          </cell>
        </row>
        <row r="99">
          <cell r="B99" t="str">
            <v>SALERNO</v>
          </cell>
        </row>
        <row r="100">
          <cell r="B100" t="str">
            <v>TOTALE GENERALE</v>
          </cell>
        </row>
        <row r="104">
          <cell r="B104" t="str">
            <v>*se il tetto 2011 dopo gli incrementi per:</v>
          </cell>
        </row>
        <row r="105">
          <cell r="B105" t="str">
            <v>a) passaggio fascia</v>
          </cell>
        </row>
        <row r="106">
          <cell r="B106" t="str">
            <v>b) rivalutazione DRG di alta specialità</v>
          </cell>
        </row>
        <row r="107">
          <cell r="B107" t="str">
            <v>c) contributo per posti letto di terapia intensiva</v>
          </cell>
        </row>
        <row r="108">
          <cell r="B108" t="str">
            <v>d) rivalutazione per posti letto di riabilitazione</v>
          </cell>
        </row>
        <row r="109">
          <cell r="B109" t="str">
            <v>e) rivalutazione per chiusure per lavori</v>
          </cell>
        </row>
        <row r="110">
          <cell r="B110" t="str">
            <v>risulta ancora inefriore all'80% del fatturato al netto dei controlli 2010 si dà il tetto 2010</v>
          </cell>
        </row>
      </sheetData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cciato di rilevazione_2022"/>
      <sheetName val="Rilevazione A1_2022"/>
      <sheetName val="Tracciato di rilevazione_2023"/>
      <sheetName val="Rilevazione A1_2023"/>
      <sheetName val="Note di compilazione"/>
      <sheetName val="BRANCHE-Apparecchiature"/>
      <sheetName val="Algoritmo"/>
      <sheetName val="Esempi applicazione"/>
    </sheetNames>
    <sheetDataSet>
      <sheetData sheetId="0">
        <row r="3">
          <cell r="B3">
            <v>440007</v>
          </cell>
          <cell r="C3" t="str">
            <v>CENTRO ANTIDIAB.A.I.D. SRL</v>
          </cell>
          <cell r="D3">
            <v>26</v>
          </cell>
          <cell r="E3" t="str">
            <v>DIABETOLOGIA</v>
          </cell>
          <cell r="F3">
            <v>0</v>
          </cell>
          <cell r="G3">
            <v>0</v>
          </cell>
          <cell r="H3"/>
          <cell r="I3"/>
          <cell r="J3"/>
          <cell r="K3"/>
          <cell r="L3"/>
          <cell r="M3"/>
          <cell r="N3"/>
          <cell r="O3"/>
          <cell r="P3"/>
          <cell r="Q3"/>
          <cell r="R3"/>
          <cell r="S3"/>
          <cell r="T3"/>
          <cell r="U3"/>
          <cell r="V3"/>
          <cell r="W3"/>
          <cell r="Y3">
            <v>0</v>
          </cell>
          <cell r="Z3">
            <v>338611</v>
          </cell>
          <cell r="AA3">
            <v>0</v>
          </cell>
          <cell r="AB3">
            <v>-1</v>
          </cell>
          <cell r="AD3" t="str">
            <v>na</v>
          </cell>
          <cell r="AE3">
            <v>0</v>
          </cell>
          <cell r="AG3" t="str">
            <v>187</v>
          </cell>
          <cell r="AH3">
            <v>2</v>
          </cell>
          <cell r="AJ3">
            <v>0</v>
          </cell>
          <cell r="AK3"/>
          <cell r="AL3"/>
          <cell r="AM3">
            <v>3</v>
          </cell>
          <cell r="AO3" t="str">
            <v>&gt;= al v.m.</v>
          </cell>
          <cell r="AP3">
            <v>0</v>
          </cell>
          <cell r="AR3" t="str">
            <v>Nella norma</v>
          </cell>
          <cell r="AS3">
            <v>0</v>
          </cell>
          <cell r="AT3">
            <v>4</v>
          </cell>
        </row>
        <row r="4">
          <cell r="B4">
            <v>450066</v>
          </cell>
          <cell r="C4" t="str">
            <v>CENTRO POLIDIAGNOSTICO LEPANTO S.N.C.</v>
          </cell>
          <cell r="D4">
            <v>26</v>
          </cell>
          <cell r="E4" t="str">
            <v>DIABETOLOGIA</v>
          </cell>
          <cell r="F4" t="str">
            <v>20-50%</v>
          </cell>
          <cell r="G4">
            <v>2</v>
          </cell>
          <cell r="I4" t="str">
            <v>SI</v>
          </cell>
          <cell r="J4">
            <v>3</v>
          </cell>
          <cell r="L4">
            <v>5</v>
          </cell>
          <cell r="M4">
            <v>12</v>
          </cell>
          <cell r="N4">
            <v>0.41666666666666669</v>
          </cell>
          <cell r="O4">
            <v>0</v>
          </cell>
          <cell r="Q4">
            <v>2</v>
          </cell>
          <cell r="R4">
            <v>5</v>
          </cell>
          <cell r="S4">
            <v>0.4</v>
          </cell>
          <cell r="T4">
            <v>1</v>
          </cell>
          <cell r="V4" t="str">
            <v>NO</v>
          </cell>
          <cell r="W4">
            <v>0</v>
          </cell>
          <cell r="Y4">
            <v>3139.01699999537</v>
          </cell>
          <cell r="Z4">
            <v>244476</v>
          </cell>
          <cell r="AA4">
            <v>1.2839775683483736E-2</v>
          </cell>
          <cell r="AB4">
            <v>0</v>
          </cell>
          <cell r="AD4" t="str">
            <v>na</v>
          </cell>
          <cell r="AE4">
            <v>0</v>
          </cell>
          <cell r="AG4" t="str">
            <v>156</v>
          </cell>
          <cell r="AH4">
            <v>1</v>
          </cell>
          <cell r="AJ4">
            <v>0</v>
          </cell>
          <cell r="AK4"/>
          <cell r="AL4"/>
          <cell r="AM4">
            <v>3</v>
          </cell>
          <cell r="AO4" t="str">
            <v>&gt;10% in meno</v>
          </cell>
          <cell r="AP4">
            <v>3</v>
          </cell>
          <cell r="AR4" t="str">
            <v>Nella norma</v>
          </cell>
          <cell r="AS4">
            <v>0</v>
          </cell>
          <cell r="AT4">
            <v>13</v>
          </cell>
        </row>
        <row r="5">
          <cell r="B5">
            <v>470137</v>
          </cell>
          <cell r="C5" t="str">
            <v>LEGA ITALIANA DIABETE - L.I.D. CENTRO ANTIDIABETICO</v>
          </cell>
          <cell r="D5">
            <v>26</v>
          </cell>
          <cell r="E5" t="str">
            <v>DIABETOLOGIA</v>
          </cell>
          <cell r="F5" t="str">
            <v>20-50%</v>
          </cell>
          <cell r="G5">
            <v>2</v>
          </cell>
          <cell r="H5"/>
          <cell r="I5" t="str">
            <v>SI</v>
          </cell>
          <cell r="J5">
            <v>3</v>
          </cell>
          <cell r="K5"/>
          <cell r="L5">
            <v>5</v>
          </cell>
          <cell r="M5">
            <v>21</v>
          </cell>
          <cell r="N5">
            <v>0.23809523809523808</v>
          </cell>
          <cell r="O5">
            <v>0</v>
          </cell>
          <cell r="P5"/>
          <cell r="Q5">
            <v>2</v>
          </cell>
          <cell r="R5">
            <v>5</v>
          </cell>
          <cell r="S5">
            <v>0.4</v>
          </cell>
          <cell r="T5">
            <v>1</v>
          </cell>
          <cell r="U5"/>
          <cell r="V5" t="str">
            <v>NO</v>
          </cell>
          <cell r="W5">
            <v>0</v>
          </cell>
          <cell r="X5"/>
          <cell r="Y5">
            <v>27900.1</v>
          </cell>
          <cell r="Z5">
            <v>195530</v>
          </cell>
          <cell r="AA5">
            <v>0.14268961284713341</v>
          </cell>
          <cell r="AB5">
            <v>3</v>
          </cell>
          <cell r="AC5"/>
          <cell r="AD5" t="str">
            <v>na</v>
          </cell>
          <cell r="AE5">
            <v>0</v>
          </cell>
          <cell r="AG5" t="str">
            <v>207</v>
          </cell>
          <cell r="AH5">
            <v>3</v>
          </cell>
          <cell r="AI5"/>
          <cell r="AJ5">
            <v>0</v>
          </cell>
          <cell r="AK5"/>
          <cell r="AL5"/>
          <cell r="AM5">
            <v>3</v>
          </cell>
          <cell r="AN5"/>
          <cell r="AO5" t="str">
            <v>&gt;10% in meno</v>
          </cell>
          <cell r="AP5">
            <v>3</v>
          </cell>
          <cell r="AQ5"/>
          <cell r="AR5" t="str">
            <v>Nella norma</v>
          </cell>
          <cell r="AS5">
            <v>0</v>
          </cell>
          <cell r="AT5">
            <v>18</v>
          </cell>
        </row>
        <row r="6">
          <cell r="B6">
            <v>480180</v>
          </cell>
          <cell r="C6" t="str">
            <v>C.A.D. S.A.S. CENTRO ASSISTENZA DIABETICO</v>
          </cell>
          <cell r="D6">
            <v>26</v>
          </cell>
          <cell r="E6" t="str">
            <v xml:space="preserve">DIABETOLOGIA </v>
          </cell>
          <cell r="F6" t="str">
            <v>&gt;50%</v>
          </cell>
          <cell r="G6">
            <v>3</v>
          </cell>
          <cell r="H6"/>
          <cell r="I6" t="str">
            <v>SI</v>
          </cell>
          <cell r="J6">
            <v>3</v>
          </cell>
          <cell r="K6"/>
          <cell r="L6">
            <v>5</v>
          </cell>
          <cell r="M6">
            <v>15</v>
          </cell>
          <cell r="N6">
            <v>0.33333333333333331</v>
          </cell>
          <cell r="O6">
            <v>0</v>
          </cell>
          <cell r="P6"/>
          <cell r="Q6">
            <v>2</v>
          </cell>
          <cell r="R6">
            <v>5</v>
          </cell>
          <cell r="S6">
            <v>0.4</v>
          </cell>
          <cell r="T6">
            <v>1</v>
          </cell>
          <cell r="U6"/>
          <cell r="V6" t="str">
            <v>SI</v>
          </cell>
          <cell r="W6">
            <v>1</v>
          </cell>
          <cell r="X6"/>
          <cell r="Y6">
            <v>33787.826000000328</v>
          </cell>
          <cell r="Z6">
            <v>379612</v>
          </cell>
          <cell r="AA6">
            <v>8.9006211605534943E-2</v>
          </cell>
          <cell r="AB6">
            <v>2</v>
          </cell>
          <cell r="AC6"/>
          <cell r="AD6" t="str">
            <v>na</v>
          </cell>
          <cell r="AE6">
            <v>0</v>
          </cell>
          <cell r="AG6" t="str">
            <v>195</v>
          </cell>
          <cell r="AH6">
            <v>2</v>
          </cell>
          <cell r="AI6"/>
          <cell r="AJ6">
            <v>0</v>
          </cell>
          <cell r="AK6"/>
          <cell r="AL6"/>
          <cell r="AM6">
            <v>3</v>
          </cell>
          <cell r="AN6"/>
          <cell r="AO6" t="str">
            <v>&gt;= al v.m.</v>
          </cell>
          <cell r="AP6">
            <v>0</v>
          </cell>
          <cell r="AQ6"/>
          <cell r="AR6" t="str">
            <v>Nella norma</v>
          </cell>
          <cell r="AS6">
            <v>0</v>
          </cell>
          <cell r="AT6">
            <v>15</v>
          </cell>
        </row>
        <row r="7">
          <cell r="B7">
            <v>520355</v>
          </cell>
          <cell r="C7" t="str">
            <v>A.N.A.D. SAS - AGGREGATO AGG 308 DA 01/2019</v>
          </cell>
          <cell r="D7">
            <v>26</v>
          </cell>
          <cell r="E7" t="str">
            <v>DIABETOLOGIA</v>
          </cell>
          <cell r="F7" t="str">
            <v>&gt;50%</v>
          </cell>
          <cell r="G7">
            <v>3</v>
          </cell>
          <cell r="H7"/>
          <cell r="I7" t="str">
            <v>SI</v>
          </cell>
          <cell r="J7">
            <v>3</v>
          </cell>
          <cell r="K7"/>
          <cell r="L7">
            <v>5</v>
          </cell>
          <cell r="M7">
            <v>19</v>
          </cell>
          <cell r="N7">
            <v>0.26315789473684209</v>
          </cell>
          <cell r="O7">
            <v>0</v>
          </cell>
          <cell r="P7"/>
          <cell r="Q7">
            <v>1</v>
          </cell>
          <cell r="R7">
            <v>5</v>
          </cell>
          <cell r="S7">
            <v>0.2</v>
          </cell>
          <cell r="T7">
            <v>1</v>
          </cell>
          <cell r="U7"/>
          <cell r="V7" t="str">
            <v>NO</v>
          </cell>
          <cell r="W7">
            <v>0</v>
          </cell>
          <cell r="X7"/>
          <cell r="Y7">
            <v>11121.157999999963</v>
          </cell>
          <cell r="Z7">
            <v>240448</v>
          </cell>
          <cell r="AA7">
            <v>4.6251821599680443E-2</v>
          </cell>
          <cell r="AB7">
            <v>0</v>
          </cell>
          <cell r="AC7"/>
          <cell r="AD7" t="str">
            <v>na</v>
          </cell>
          <cell r="AE7">
            <v>0</v>
          </cell>
          <cell r="AG7" t="str">
            <v>206</v>
          </cell>
          <cell r="AH7">
            <v>3</v>
          </cell>
          <cell r="AI7"/>
          <cell r="AJ7">
            <v>0</v>
          </cell>
          <cell r="AK7"/>
          <cell r="AL7"/>
          <cell r="AM7">
            <v>3</v>
          </cell>
          <cell r="AN7"/>
          <cell r="AO7" t="str">
            <v>&gt;= al v.m.</v>
          </cell>
          <cell r="AP7">
            <v>0</v>
          </cell>
          <cell r="AQ7"/>
          <cell r="AR7" t="str">
            <v>Nella norma</v>
          </cell>
          <cell r="AS7">
            <v>0</v>
          </cell>
          <cell r="AT7">
            <v>13</v>
          </cell>
        </row>
        <row r="8">
          <cell r="B8">
            <v>530334</v>
          </cell>
          <cell r="C8" t="str">
            <v>DIABETOLOGIA SPES SRL</v>
          </cell>
          <cell r="D8">
            <v>26</v>
          </cell>
          <cell r="E8" t="str">
            <v>DIABETOLOGIA</v>
          </cell>
          <cell r="F8" t="str">
            <v>20-50%</v>
          </cell>
          <cell r="G8">
            <v>2</v>
          </cell>
          <cell r="H8"/>
          <cell r="I8" t="str">
            <v>SI</v>
          </cell>
          <cell r="J8">
            <v>3</v>
          </cell>
          <cell r="K8"/>
          <cell r="L8">
            <v>7</v>
          </cell>
          <cell r="M8"/>
          <cell r="N8"/>
          <cell r="O8"/>
          <cell r="P8"/>
          <cell r="Q8">
            <v>3</v>
          </cell>
          <cell r="R8">
            <v>7</v>
          </cell>
          <cell r="S8">
            <v>0.42857142857142855</v>
          </cell>
          <cell r="T8">
            <v>1</v>
          </cell>
          <cell r="U8"/>
          <cell r="V8" t="str">
            <v>SI</v>
          </cell>
          <cell r="W8">
            <v>1</v>
          </cell>
          <cell r="X8"/>
          <cell r="Y8">
            <v>0</v>
          </cell>
          <cell r="Z8">
            <v>137161</v>
          </cell>
          <cell r="AA8">
            <v>0</v>
          </cell>
          <cell r="AB8">
            <v>-1</v>
          </cell>
          <cell r="AC8"/>
          <cell r="AD8" t="str">
            <v>na</v>
          </cell>
          <cell r="AE8">
            <v>0</v>
          </cell>
          <cell r="AG8" t="str">
            <v>158</v>
          </cell>
          <cell r="AH8">
            <v>1</v>
          </cell>
          <cell r="AI8"/>
          <cell r="AJ8">
            <v>0</v>
          </cell>
          <cell r="AK8"/>
          <cell r="AL8"/>
          <cell r="AM8">
            <v>3</v>
          </cell>
          <cell r="AN8"/>
          <cell r="AO8" t="str">
            <v>&gt;= al v.m.</v>
          </cell>
          <cell r="AP8">
            <v>0</v>
          </cell>
          <cell r="AQ8"/>
          <cell r="AR8" t="str">
            <v>Nella norma</v>
          </cell>
          <cell r="AS8">
            <v>0</v>
          </cell>
          <cell r="AT8">
            <v>10</v>
          </cell>
        </row>
        <row r="9">
          <cell r="B9">
            <v>530378</v>
          </cell>
          <cell r="C9" t="str">
            <v>ISTITUTO DIAGNOSTICA DEL PROF. FUMO ERRICO &amp; C .  S.R.L.</v>
          </cell>
          <cell r="D9">
            <v>26</v>
          </cell>
          <cell r="E9" t="str">
            <v>DIABETOLOGIA</v>
          </cell>
          <cell r="F9" t="str">
            <v>&lt;5%</v>
          </cell>
          <cell r="G9">
            <v>-1</v>
          </cell>
          <cell r="H9"/>
          <cell r="I9" t="str">
            <v>SI</v>
          </cell>
          <cell r="J9">
            <v>3</v>
          </cell>
          <cell r="K9"/>
          <cell r="L9">
            <v>8</v>
          </cell>
          <cell r="M9">
            <v>17</v>
          </cell>
          <cell r="N9">
            <v>0.47058823529411764</v>
          </cell>
          <cell r="O9">
            <v>0</v>
          </cell>
          <cell r="P9"/>
          <cell r="Q9">
            <v>6</v>
          </cell>
          <cell r="R9">
            <v>8</v>
          </cell>
          <cell r="S9">
            <v>0.75</v>
          </cell>
          <cell r="T9">
            <v>2</v>
          </cell>
          <cell r="U9"/>
          <cell r="V9" t="str">
            <v>NO</v>
          </cell>
          <cell r="W9">
            <v>0</v>
          </cell>
          <cell r="X9"/>
          <cell r="Y9">
            <v>0</v>
          </cell>
          <cell r="Z9">
            <v>196820</v>
          </cell>
          <cell r="AA9">
            <v>0</v>
          </cell>
          <cell r="AB9">
            <v>-1</v>
          </cell>
          <cell r="AC9"/>
          <cell r="AD9" t="str">
            <v>na</v>
          </cell>
          <cell r="AE9">
            <v>0</v>
          </cell>
          <cell r="AG9" t="str">
            <v>215</v>
          </cell>
          <cell r="AH9">
            <v>3</v>
          </cell>
          <cell r="AI9"/>
          <cell r="AJ9">
            <v>0</v>
          </cell>
          <cell r="AK9"/>
          <cell r="AL9"/>
          <cell r="AM9">
            <v>3</v>
          </cell>
          <cell r="AN9"/>
          <cell r="AO9" t="str">
            <v>&gt;= al v.m.</v>
          </cell>
          <cell r="AP9">
            <v>0</v>
          </cell>
          <cell r="AQ9"/>
          <cell r="AR9" t="str">
            <v>Nella norma</v>
          </cell>
          <cell r="AS9">
            <v>0</v>
          </cell>
          <cell r="AT9">
            <v>9</v>
          </cell>
        </row>
      </sheetData>
      <sheetData sheetId="1"/>
      <sheetData sheetId="2">
        <row r="3">
          <cell r="B3">
            <v>440007</v>
          </cell>
          <cell r="C3" t="str">
            <v>CENTRO ANTIDIABETICO AID NAPOLI SRL</v>
          </cell>
          <cell r="D3">
            <v>26</v>
          </cell>
          <cell r="E3" t="str">
            <v>DIABETOLOGIA</v>
          </cell>
          <cell r="F3"/>
          <cell r="G3">
            <v>0</v>
          </cell>
          <cell r="I3" t="str">
            <v>SI</v>
          </cell>
          <cell r="J3">
            <v>3</v>
          </cell>
          <cell r="L3">
            <v>9</v>
          </cell>
          <cell r="M3">
            <v>17</v>
          </cell>
          <cell r="N3">
            <v>0.52941176470588236</v>
          </cell>
          <cell r="O3">
            <v>0</v>
          </cell>
          <cell r="Q3">
            <v>4</v>
          </cell>
          <cell r="R3">
            <v>9</v>
          </cell>
          <cell r="S3">
            <v>0.44444444444444442</v>
          </cell>
          <cell r="T3">
            <v>1</v>
          </cell>
          <cell r="V3" t="str">
            <v>NO</v>
          </cell>
          <cell r="W3">
            <v>0</v>
          </cell>
          <cell r="Y3">
            <v>0</v>
          </cell>
          <cell r="Z3">
            <v>338611</v>
          </cell>
          <cell r="AA3">
            <v>0</v>
          </cell>
          <cell r="AB3">
            <v>-1</v>
          </cell>
          <cell r="AD3" t="str">
            <v>na</v>
          </cell>
          <cell r="AE3">
            <v>0</v>
          </cell>
          <cell r="AG3">
            <v>232</v>
          </cell>
          <cell r="AH3">
            <v>3</v>
          </cell>
          <cell r="AJ3">
            <v>0</v>
          </cell>
          <cell r="AK3">
            <v>27324</v>
          </cell>
          <cell r="AL3">
            <v>0</v>
          </cell>
          <cell r="AM3">
            <v>3</v>
          </cell>
          <cell r="AO3" t="str">
            <v>&gt;= al v.m.</v>
          </cell>
          <cell r="AP3">
            <v>0</v>
          </cell>
          <cell r="AR3" t="str">
            <v>nella norma</v>
          </cell>
          <cell r="AS3">
            <v>0</v>
          </cell>
          <cell r="AT3">
            <v>9</v>
          </cell>
        </row>
        <row r="4">
          <cell r="B4">
            <v>450066</v>
          </cell>
          <cell r="C4" t="str">
            <v>CENTRO POLIDIAGNOSTICO LEPANTO S.N.C.</v>
          </cell>
          <cell r="D4">
            <v>26</v>
          </cell>
          <cell r="E4" t="str">
            <v>DIABETOLOGIA</v>
          </cell>
          <cell r="F4" t="str">
            <v>20-50%</v>
          </cell>
          <cell r="G4">
            <v>2</v>
          </cell>
          <cell r="I4" t="str">
            <v>SI</v>
          </cell>
          <cell r="J4">
            <v>3</v>
          </cell>
          <cell r="L4">
            <v>5</v>
          </cell>
          <cell r="M4">
            <v>12</v>
          </cell>
          <cell r="N4">
            <v>0.41666666666666669</v>
          </cell>
          <cell r="O4">
            <v>0</v>
          </cell>
          <cell r="Q4">
            <v>2</v>
          </cell>
          <cell r="R4">
            <v>5</v>
          </cell>
          <cell r="S4">
            <v>0.4</v>
          </cell>
          <cell r="T4">
            <v>1</v>
          </cell>
          <cell r="V4" t="str">
            <v>NO</v>
          </cell>
          <cell r="W4">
            <v>0</v>
          </cell>
          <cell r="Y4">
            <v>0</v>
          </cell>
          <cell r="Z4">
            <v>247615.01699999537</v>
          </cell>
          <cell r="AA4">
            <v>0</v>
          </cell>
          <cell r="AB4">
            <v>-1</v>
          </cell>
          <cell r="AD4" t="str">
            <v>na</v>
          </cell>
          <cell r="AE4">
            <v>0</v>
          </cell>
          <cell r="AG4">
            <v>200</v>
          </cell>
          <cell r="AH4">
            <v>3</v>
          </cell>
          <cell r="AJ4">
            <v>0</v>
          </cell>
          <cell r="AK4">
            <v>34401</v>
          </cell>
          <cell r="AL4">
            <v>0</v>
          </cell>
          <cell r="AM4">
            <v>3</v>
          </cell>
          <cell r="AO4" t="str">
            <v>&gt;10% in meno</v>
          </cell>
          <cell r="AP4">
            <v>3</v>
          </cell>
          <cell r="AR4" t="str">
            <v>nella norma</v>
          </cell>
          <cell r="AS4">
            <v>0</v>
          </cell>
          <cell r="AT4">
            <v>14</v>
          </cell>
        </row>
        <row r="5">
          <cell r="B5">
            <v>470137</v>
          </cell>
          <cell r="C5" t="str">
            <v>LEGA ITALIANA DIABETE - L.I.D. CENTRO ANTIDIABETICO</v>
          </cell>
          <cell r="D5">
            <v>26</v>
          </cell>
          <cell r="E5" t="str">
            <v>DIABETOLOGIA</v>
          </cell>
          <cell r="F5" t="str">
            <v>20-50%</v>
          </cell>
          <cell r="G5">
            <v>2</v>
          </cell>
          <cell r="H5"/>
          <cell r="I5" t="str">
            <v>SI</v>
          </cell>
          <cell r="J5">
            <v>3</v>
          </cell>
          <cell r="K5"/>
          <cell r="L5">
            <v>6</v>
          </cell>
          <cell r="M5">
            <v>20</v>
          </cell>
          <cell r="N5">
            <v>0.3</v>
          </cell>
          <cell r="O5">
            <v>0</v>
          </cell>
          <cell r="P5"/>
          <cell r="Q5">
            <v>3</v>
          </cell>
          <cell r="R5">
            <v>6</v>
          </cell>
          <cell r="S5">
            <v>0.5</v>
          </cell>
          <cell r="T5">
            <v>1</v>
          </cell>
          <cell r="U5"/>
          <cell r="V5" t="str">
            <v>NO</v>
          </cell>
          <cell r="W5">
            <v>0</v>
          </cell>
          <cell r="X5"/>
          <cell r="Y5">
            <v>0</v>
          </cell>
          <cell r="Z5">
            <v>215082.316999998</v>
          </cell>
          <cell r="AA5">
            <v>0</v>
          </cell>
          <cell r="AB5">
            <v>-1</v>
          </cell>
          <cell r="AC5"/>
          <cell r="AD5" t="str">
            <v>na</v>
          </cell>
          <cell r="AE5">
            <v>0</v>
          </cell>
          <cell r="AF5"/>
          <cell r="AG5">
            <v>205</v>
          </cell>
          <cell r="AH5">
            <v>3</v>
          </cell>
          <cell r="AI5"/>
          <cell r="AJ5">
            <v>0</v>
          </cell>
          <cell r="AK5">
            <v>27465</v>
          </cell>
          <cell r="AL5">
            <v>0</v>
          </cell>
          <cell r="AM5">
            <v>3</v>
          </cell>
          <cell r="AN5"/>
          <cell r="AO5" t="str">
            <v>&gt;10% in meno</v>
          </cell>
          <cell r="AP5">
            <v>3</v>
          </cell>
          <cell r="AQ5"/>
          <cell r="AR5" t="str">
            <v>nella norma</v>
          </cell>
          <cell r="AS5">
            <v>0</v>
          </cell>
          <cell r="AT5">
            <v>14</v>
          </cell>
        </row>
        <row r="6">
          <cell r="B6">
            <v>480180</v>
          </cell>
          <cell r="C6" t="str">
            <v>C.A.D. - CENTRO ASSISTENZA DIABETICI S.A.S.</v>
          </cell>
          <cell r="D6">
            <v>26</v>
          </cell>
          <cell r="E6" t="str">
            <v>DIABETOLOGIA</v>
          </cell>
          <cell r="F6" t="str">
            <v>&gt;50%</v>
          </cell>
          <cell r="G6">
            <v>3</v>
          </cell>
          <cell r="I6" t="str">
            <v>SI</v>
          </cell>
          <cell r="J6">
            <v>3</v>
          </cell>
          <cell r="L6">
            <v>5</v>
          </cell>
          <cell r="M6">
            <v>16</v>
          </cell>
          <cell r="N6">
            <v>0.3125</v>
          </cell>
          <cell r="O6">
            <v>0</v>
          </cell>
          <cell r="Q6">
            <v>3</v>
          </cell>
          <cell r="R6">
            <v>5</v>
          </cell>
          <cell r="S6">
            <v>0.6</v>
          </cell>
          <cell r="T6">
            <v>2</v>
          </cell>
          <cell r="V6" t="str">
            <v>SI</v>
          </cell>
          <cell r="W6">
            <v>1</v>
          </cell>
          <cell r="Y6">
            <v>0</v>
          </cell>
          <cell r="Z6">
            <v>413398.37800001557</v>
          </cell>
          <cell r="AA6">
            <v>0</v>
          </cell>
          <cell r="AB6">
            <v>-1</v>
          </cell>
          <cell r="AD6" t="str">
            <v>na</v>
          </cell>
          <cell r="AE6">
            <v>0</v>
          </cell>
          <cell r="AG6">
            <v>193</v>
          </cell>
          <cell r="AH6">
            <v>2</v>
          </cell>
          <cell r="AJ6">
            <v>0</v>
          </cell>
          <cell r="AK6">
            <v>41411</v>
          </cell>
          <cell r="AL6">
            <v>0</v>
          </cell>
          <cell r="AM6">
            <v>3</v>
          </cell>
          <cell r="AO6" t="str">
            <v>&gt;= al v.m.</v>
          </cell>
          <cell r="AP6">
            <v>0</v>
          </cell>
          <cell r="AR6" t="str">
            <v>nella norma</v>
          </cell>
          <cell r="AS6">
            <v>0</v>
          </cell>
          <cell r="AT6">
            <v>13</v>
          </cell>
        </row>
        <row r="7">
          <cell r="B7">
            <v>520355</v>
          </cell>
          <cell r="C7" t="str">
            <v>A.N.A.D. SAS - AGGREGATO AGG 308 DA 01/2019</v>
          </cell>
          <cell r="D7">
            <v>26</v>
          </cell>
          <cell r="E7" t="str">
            <v>DIABETOLOGIA</v>
          </cell>
          <cell r="F7" t="str">
            <v>&gt;50%</v>
          </cell>
          <cell r="G7">
            <v>3</v>
          </cell>
          <cell r="H7"/>
          <cell r="I7" t="str">
            <v>SI</v>
          </cell>
          <cell r="J7">
            <v>3</v>
          </cell>
          <cell r="K7"/>
          <cell r="L7">
            <v>5</v>
          </cell>
          <cell r="M7">
            <v>20</v>
          </cell>
          <cell r="N7">
            <v>0.25</v>
          </cell>
          <cell r="O7">
            <v>0</v>
          </cell>
          <cell r="P7"/>
          <cell r="Q7">
            <v>1</v>
          </cell>
          <cell r="R7">
            <v>5</v>
          </cell>
          <cell r="S7">
            <v>0.2</v>
          </cell>
          <cell r="T7">
            <v>1</v>
          </cell>
          <cell r="U7"/>
          <cell r="V7" t="str">
            <v>NO</v>
          </cell>
          <cell r="W7">
            <v>0</v>
          </cell>
          <cell r="X7"/>
          <cell r="Y7">
            <v>0</v>
          </cell>
          <cell r="Z7">
            <v>251568.65899999253</v>
          </cell>
          <cell r="AA7">
            <v>0</v>
          </cell>
          <cell r="AB7">
            <v>-1</v>
          </cell>
          <cell r="AC7"/>
          <cell r="AD7" t="str">
            <v>na</v>
          </cell>
          <cell r="AE7">
            <v>0</v>
          </cell>
          <cell r="AF7"/>
          <cell r="AG7">
            <v>283</v>
          </cell>
          <cell r="AH7">
            <v>3</v>
          </cell>
          <cell r="AI7"/>
          <cell r="AJ7">
            <v>0</v>
          </cell>
          <cell r="AK7">
            <v>23362</v>
          </cell>
          <cell r="AL7">
            <v>0</v>
          </cell>
          <cell r="AM7">
            <v>3</v>
          </cell>
          <cell r="AN7"/>
          <cell r="AO7" t="str">
            <v>&gt;= al v.m.</v>
          </cell>
          <cell r="AP7">
            <v>0</v>
          </cell>
          <cell r="AQ7"/>
          <cell r="AR7" t="str">
            <v>nella norma</v>
          </cell>
          <cell r="AS7">
            <v>0</v>
          </cell>
          <cell r="AT7">
            <v>12</v>
          </cell>
        </row>
        <row r="8">
          <cell r="B8">
            <v>530334</v>
          </cell>
          <cell r="C8" t="str">
            <v>DIABETOLOGIA SPES SRL</v>
          </cell>
          <cell r="D8">
            <v>26</v>
          </cell>
          <cell r="E8" t="str">
            <v>DIABETOLOGIA</v>
          </cell>
          <cell r="F8" t="str">
            <v>&lt;5%</v>
          </cell>
          <cell r="G8">
            <v>-1</v>
          </cell>
          <cell r="H8"/>
          <cell r="I8" t="str">
            <v>NO</v>
          </cell>
          <cell r="J8">
            <v>-1</v>
          </cell>
          <cell r="K8"/>
          <cell r="L8"/>
          <cell r="M8"/>
          <cell r="N8">
            <v>0</v>
          </cell>
          <cell r="O8">
            <v>0</v>
          </cell>
          <cell r="P8"/>
          <cell r="Q8"/>
          <cell r="R8"/>
          <cell r="S8">
            <v>0</v>
          </cell>
          <cell r="T8"/>
          <cell r="U8"/>
          <cell r="V8" t="str">
            <v>SI</v>
          </cell>
          <cell r="W8">
            <v>1</v>
          </cell>
          <cell r="X8"/>
          <cell r="Y8">
            <v>0</v>
          </cell>
          <cell r="Z8">
            <v>137161</v>
          </cell>
          <cell r="AA8">
            <v>0</v>
          </cell>
          <cell r="AB8">
            <v>-1</v>
          </cell>
          <cell r="AC8"/>
          <cell r="AD8" t="str">
            <v>na</v>
          </cell>
          <cell r="AE8">
            <v>0</v>
          </cell>
          <cell r="AF8"/>
          <cell r="AG8">
            <v>248</v>
          </cell>
          <cell r="AH8">
            <v>3</v>
          </cell>
          <cell r="AI8"/>
          <cell r="AJ8">
            <v>0</v>
          </cell>
          <cell r="AK8">
            <v>10589</v>
          </cell>
          <cell r="AL8">
            <v>0</v>
          </cell>
          <cell r="AM8">
            <v>3</v>
          </cell>
          <cell r="AN8"/>
          <cell r="AO8" t="str">
            <v>&gt;= al v.m.</v>
          </cell>
          <cell r="AP8">
            <v>0</v>
          </cell>
          <cell r="AQ8"/>
          <cell r="AR8" t="str">
            <v>nella norma</v>
          </cell>
          <cell r="AS8">
            <v>0</v>
          </cell>
          <cell r="AT8">
            <v>4</v>
          </cell>
        </row>
        <row r="9">
          <cell r="B9">
            <v>530378</v>
          </cell>
          <cell r="C9" t="str">
            <v>ISTITUTO DIAGNOSTICA DEL PROF. FUMO ERRICO &amp; C .  S.R.L.</v>
          </cell>
          <cell r="D9">
            <v>26</v>
          </cell>
          <cell r="E9" t="str">
            <v>DIABETOLOGIA</v>
          </cell>
          <cell r="F9" t="str">
            <v>&lt;5%</v>
          </cell>
          <cell r="G9">
            <v>-1</v>
          </cell>
          <cell r="H9"/>
          <cell r="I9" t="str">
            <v>SI</v>
          </cell>
          <cell r="J9">
            <v>3</v>
          </cell>
          <cell r="K9"/>
          <cell r="L9">
            <v>8</v>
          </cell>
          <cell r="M9">
            <v>16</v>
          </cell>
          <cell r="N9">
            <v>0.5</v>
          </cell>
          <cell r="O9">
            <v>0</v>
          </cell>
          <cell r="P9"/>
          <cell r="Q9">
            <v>6</v>
          </cell>
          <cell r="R9">
            <v>8</v>
          </cell>
          <cell r="S9">
            <v>0.75</v>
          </cell>
          <cell r="T9">
            <v>2</v>
          </cell>
          <cell r="U9"/>
          <cell r="V9" t="str">
            <v>NO</v>
          </cell>
          <cell r="W9">
            <v>0</v>
          </cell>
          <cell r="X9"/>
          <cell r="Y9">
            <v>4971.1539999916567</v>
          </cell>
          <cell r="Z9">
            <v>196820</v>
          </cell>
          <cell r="AA9">
            <v>2.5257362056659165E-2</v>
          </cell>
          <cell r="AB9">
            <v>0</v>
          </cell>
          <cell r="AC9"/>
          <cell r="AD9" t="str">
            <v>na</v>
          </cell>
          <cell r="AE9">
            <v>0</v>
          </cell>
          <cell r="AF9"/>
          <cell r="AG9">
            <v>223</v>
          </cell>
          <cell r="AH9">
            <v>3</v>
          </cell>
          <cell r="AI9"/>
          <cell r="AJ9">
            <v>0</v>
          </cell>
          <cell r="AK9">
            <v>20337</v>
          </cell>
          <cell r="AL9">
            <v>0</v>
          </cell>
          <cell r="AM9">
            <v>3</v>
          </cell>
          <cell r="AN9"/>
          <cell r="AO9" t="str">
            <v>&gt;= al v.m.</v>
          </cell>
          <cell r="AP9">
            <v>0</v>
          </cell>
          <cell r="AQ9"/>
          <cell r="AR9" t="str">
            <v>nella norma</v>
          </cell>
          <cell r="AS9">
            <v>0</v>
          </cell>
          <cell r="AT9">
            <v>10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Z26"/>
  <sheetViews>
    <sheetView zoomScaleNormal="100" workbookViewId="0">
      <pane xSplit="3" ySplit="5" topLeftCell="D6" activePane="bottomRight" state="frozen"/>
      <selection activeCell="A4" sqref="A4"/>
      <selection pane="topRight" activeCell="A4" sqref="A4"/>
      <selection pane="bottomLeft" activeCell="A4" sqref="A4"/>
      <selection pane="bottomRight" activeCell="A4" sqref="A4"/>
    </sheetView>
  </sheetViews>
  <sheetFormatPr defaultColWidth="8.85546875" defaultRowHeight="15" x14ac:dyDescent="0.25"/>
  <cols>
    <col min="1" max="1" width="7.85546875" style="3" bestFit="1" customWidth="1"/>
    <col min="2" max="2" width="63.85546875" style="2" bestFit="1" customWidth="1"/>
    <col min="3" max="3" width="4.7109375" style="1" customWidth="1"/>
    <col min="4" max="4" width="7.85546875" style="1" bestFit="1" customWidth="1"/>
    <col min="5" max="5" width="9.140625" style="1" bestFit="1" customWidth="1"/>
    <col min="6" max="6" width="10.140625" style="1" bestFit="1" customWidth="1"/>
    <col min="7" max="7" width="10.140625" style="1" customWidth="1"/>
    <col min="8" max="9" width="10.140625" style="1" bestFit="1" customWidth="1"/>
    <col min="10" max="10" width="11.85546875" style="1" customWidth="1"/>
    <col min="11" max="11" width="7.85546875" style="1" bestFit="1" customWidth="1"/>
    <col min="12" max="12" width="10.140625" style="1" bestFit="1" customWidth="1"/>
    <col min="13" max="13" width="15" style="1" customWidth="1"/>
    <col min="14" max="16" width="10.140625" style="1" bestFit="1" customWidth="1"/>
    <col min="17" max="17" width="8.7109375" style="1" customWidth="1"/>
    <col min="18" max="18" width="8" style="1" bestFit="1" customWidth="1"/>
    <col min="19" max="19" width="10.140625" style="1" bestFit="1" customWidth="1"/>
    <col min="20" max="20" width="8" style="1" customWidth="1"/>
    <col min="21" max="21" width="10" style="1" customWidth="1"/>
    <col min="22" max="22" width="4.28515625" style="1" customWidth="1"/>
    <col min="23" max="23" width="4.7109375" style="1" customWidth="1"/>
    <col min="24" max="24" width="10.140625" style="1" bestFit="1" customWidth="1"/>
    <col min="25" max="25" width="9.140625" style="1" bestFit="1" customWidth="1"/>
    <col min="26" max="27" width="8" style="1" customWidth="1"/>
    <col min="28" max="16384" width="8.85546875" style="1"/>
  </cols>
  <sheetData>
    <row r="1" spans="1:26" ht="31.9" customHeight="1" x14ac:dyDescent="0.35">
      <c r="A1" s="43" t="s">
        <v>89</v>
      </c>
      <c r="D1" s="42"/>
    </row>
    <row r="2" spans="1:26" ht="16.5" thickBot="1" x14ac:dyDescent="0.3">
      <c r="A2" s="41">
        <v>1</v>
      </c>
      <c r="B2" s="41">
        <v>2</v>
      </c>
      <c r="C2" s="41">
        <v>3</v>
      </c>
      <c r="D2" s="41">
        <v>4</v>
      </c>
      <c r="E2" s="41">
        <v>5</v>
      </c>
      <c r="F2" s="41">
        <v>6</v>
      </c>
      <c r="G2" s="41">
        <v>7</v>
      </c>
      <c r="H2" s="41">
        <v>8</v>
      </c>
      <c r="I2" s="41">
        <v>9</v>
      </c>
      <c r="J2" s="41">
        <v>10</v>
      </c>
      <c r="K2" s="53">
        <v>11</v>
      </c>
      <c r="L2" s="53">
        <v>12</v>
      </c>
      <c r="M2" s="53">
        <v>13</v>
      </c>
      <c r="N2" s="53">
        <v>14</v>
      </c>
      <c r="O2" s="53">
        <v>15</v>
      </c>
      <c r="P2" s="53">
        <v>16</v>
      </c>
      <c r="Q2" s="53">
        <v>17</v>
      </c>
      <c r="R2" s="40">
        <v>18</v>
      </c>
      <c r="S2" s="40">
        <v>19</v>
      </c>
      <c r="T2" s="40">
        <v>20</v>
      </c>
      <c r="U2" s="40">
        <v>21</v>
      </c>
      <c r="X2" s="39"/>
      <c r="Y2" s="39"/>
      <c r="Z2" s="39"/>
    </row>
    <row r="3" spans="1:26" ht="22.15" customHeight="1" x14ac:dyDescent="0.25">
      <c r="A3" s="37" t="s">
        <v>30</v>
      </c>
      <c r="B3" s="57" t="s">
        <v>93</v>
      </c>
      <c r="C3" s="103" t="s">
        <v>29</v>
      </c>
      <c r="D3" s="104" t="s">
        <v>34</v>
      </c>
      <c r="E3" s="105" t="s">
        <v>33</v>
      </c>
      <c r="F3" s="105" t="s">
        <v>27</v>
      </c>
      <c r="G3" s="108" t="s">
        <v>43</v>
      </c>
      <c r="H3" s="102" t="s">
        <v>32</v>
      </c>
      <c r="I3" s="114" t="s">
        <v>31</v>
      </c>
      <c r="J3" s="125" t="s">
        <v>42</v>
      </c>
      <c r="K3" s="132" t="s">
        <v>67</v>
      </c>
      <c r="L3" s="133"/>
      <c r="M3" s="134"/>
      <c r="N3" s="124" t="s">
        <v>25</v>
      </c>
      <c r="O3" s="124"/>
      <c r="P3" s="124"/>
      <c r="Q3" s="135" t="s">
        <v>39</v>
      </c>
      <c r="R3" s="126" t="s">
        <v>44</v>
      </c>
      <c r="S3" s="127"/>
      <c r="T3" s="127"/>
      <c r="U3" s="128"/>
      <c r="V3" s="32">
        <v>0.02</v>
      </c>
      <c r="X3" s="119" t="s">
        <v>24</v>
      </c>
      <c r="Y3" s="120"/>
      <c r="Z3" s="121"/>
    </row>
    <row r="4" spans="1:26" ht="22.15" customHeight="1" x14ac:dyDescent="0.25">
      <c r="A4" s="37" t="s">
        <v>23</v>
      </c>
      <c r="B4" s="58" t="s">
        <v>90</v>
      </c>
      <c r="C4" s="103"/>
      <c r="D4" s="104"/>
      <c r="E4" s="106"/>
      <c r="F4" s="106"/>
      <c r="G4" s="109"/>
      <c r="H4" s="102"/>
      <c r="I4" s="115"/>
      <c r="J4" s="106"/>
      <c r="K4" s="122" t="s">
        <v>22</v>
      </c>
      <c r="L4" s="122" t="s">
        <v>21</v>
      </c>
      <c r="M4" s="122" t="s">
        <v>20</v>
      </c>
      <c r="N4" s="124" t="s">
        <v>80</v>
      </c>
      <c r="O4" s="124"/>
      <c r="P4" s="124"/>
      <c r="Q4" s="135"/>
      <c r="R4" s="129"/>
      <c r="S4" s="130"/>
      <c r="T4" s="130"/>
      <c r="U4" s="131"/>
      <c r="V4" s="32">
        <v>0</v>
      </c>
      <c r="X4" s="117" t="s">
        <v>18</v>
      </c>
      <c r="Y4" s="111" t="s">
        <v>17</v>
      </c>
      <c r="Z4" s="111" t="s">
        <v>16</v>
      </c>
    </row>
    <row r="5" spans="1:26" ht="22.15" customHeight="1" thickBot="1" x14ac:dyDescent="0.3">
      <c r="A5" s="59" t="s">
        <v>15</v>
      </c>
      <c r="B5" s="60" t="s">
        <v>14</v>
      </c>
      <c r="C5" s="103"/>
      <c r="D5" s="61" t="s">
        <v>13</v>
      </c>
      <c r="E5" s="107"/>
      <c r="F5" s="107"/>
      <c r="G5" s="110"/>
      <c r="H5" s="102"/>
      <c r="I5" s="116"/>
      <c r="J5" s="107"/>
      <c r="K5" s="123"/>
      <c r="L5" s="123"/>
      <c r="M5" s="123"/>
      <c r="N5" s="62" t="s">
        <v>12</v>
      </c>
      <c r="O5" s="62" t="s">
        <v>11</v>
      </c>
      <c r="P5" s="62" t="s">
        <v>10</v>
      </c>
      <c r="Q5" s="135"/>
      <c r="R5" s="63" t="s">
        <v>45</v>
      </c>
      <c r="S5" s="55" t="s">
        <v>46</v>
      </c>
      <c r="T5" s="55" t="s">
        <v>47</v>
      </c>
      <c r="U5" s="55" t="s">
        <v>48</v>
      </c>
      <c r="V5" s="32">
        <v>-0.02</v>
      </c>
      <c r="X5" s="118"/>
      <c r="Y5" s="112"/>
      <c r="Z5" s="112"/>
    </row>
    <row r="6" spans="1:26" x14ac:dyDescent="0.25">
      <c r="A6" s="80">
        <v>440007</v>
      </c>
      <c r="B6" s="81" t="s">
        <v>81</v>
      </c>
      <c r="C6" s="30" t="s">
        <v>7</v>
      </c>
      <c r="D6" s="29">
        <v>10.48</v>
      </c>
      <c r="E6" s="87">
        <v>23600</v>
      </c>
      <c r="F6" s="27">
        <f t="shared" ref="F6:F12" si="0">E6*D6</f>
        <v>247328</v>
      </c>
      <c r="G6" s="27">
        <f t="shared" ref="G6:G12" si="1">F6/F$13*G$13</f>
        <v>295489.35440875794</v>
      </c>
      <c r="H6" s="22">
        <v>338611</v>
      </c>
      <c r="I6" s="28">
        <f>SUM(X6:Z6)</f>
        <v>315046.96778810315</v>
      </c>
      <c r="J6" s="26">
        <f t="shared" ref="J6:J13" si="2">G6/AVERAGE(H6,I6)</f>
        <v>0.90411000544721265</v>
      </c>
      <c r="K6" s="80">
        <v>530334</v>
      </c>
      <c r="L6" s="82">
        <v>137161</v>
      </c>
      <c r="M6" s="89">
        <v>1</v>
      </c>
      <c r="N6" s="24">
        <f>+L6</f>
        <v>137161</v>
      </c>
      <c r="O6" s="24"/>
      <c r="P6" s="24"/>
      <c r="Q6" s="24">
        <f t="shared" ref="Q6:Q12" si="3">(N6*V$3)+(O6*V$4)+(P6*V$5)</f>
        <v>2743.2200000000003</v>
      </c>
      <c r="R6" s="80">
        <v>440007</v>
      </c>
      <c r="S6" s="23">
        <f t="shared" ref="S6:S12" si="4">VLOOKUP(R6,$K$6:$Q$12,2,FALSE)</f>
        <v>338611</v>
      </c>
      <c r="T6" s="23">
        <f t="shared" ref="T6:T12" si="5">VLOOKUP(R6,$K$6:$Q$12,7,FALSE)</f>
        <v>0</v>
      </c>
      <c r="U6" s="56">
        <f>T6+S6</f>
        <v>338611</v>
      </c>
      <c r="X6" s="93">
        <v>315046.96778810315</v>
      </c>
      <c r="Y6" s="93">
        <v>0</v>
      </c>
      <c r="Z6" s="93">
        <v>0</v>
      </c>
    </row>
    <row r="7" spans="1:26" ht="14.45" customHeight="1" x14ac:dyDescent="0.25">
      <c r="A7" s="80">
        <v>450066</v>
      </c>
      <c r="B7" s="81" t="s">
        <v>82</v>
      </c>
      <c r="C7" s="30" t="s">
        <v>7</v>
      </c>
      <c r="D7" s="84">
        <v>10.48</v>
      </c>
      <c r="E7" s="87">
        <v>16192</v>
      </c>
      <c r="F7" s="86">
        <f t="shared" si="0"/>
        <v>169692.16</v>
      </c>
      <c r="G7" s="86">
        <f t="shared" si="1"/>
        <v>202735.74688926307</v>
      </c>
      <c r="H7" s="82">
        <v>244476</v>
      </c>
      <c r="I7" s="28">
        <f t="shared" ref="I7:I12" si="6">SUM(X7:Z7)</f>
        <v>247615.01699999537</v>
      </c>
      <c r="J7" s="26">
        <f t="shared" si="2"/>
        <v>0.82397662174461106</v>
      </c>
      <c r="K7" s="80">
        <v>470137</v>
      </c>
      <c r="L7" s="82">
        <v>215082.316999998</v>
      </c>
      <c r="M7" s="89">
        <v>2</v>
      </c>
      <c r="N7" s="24">
        <f t="shared" ref="N7:N8" si="7">+L7</f>
        <v>215082.316999998</v>
      </c>
      <c r="O7" s="24"/>
      <c r="P7" s="24"/>
      <c r="Q7" s="24">
        <f t="shared" si="3"/>
        <v>4301.6463399999602</v>
      </c>
      <c r="R7" s="80">
        <v>450066</v>
      </c>
      <c r="S7" s="23">
        <f t="shared" si="4"/>
        <v>247615.01699999537</v>
      </c>
      <c r="T7" s="23">
        <f t="shared" si="5"/>
        <v>-3733.7403399999075</v>
      </c>
      <c r="U7" s="56">
        <f t="shared" ref="U7:U12" si="8">T7+S7</f>
        <v>243881.27665999546</v>
      </c>
      <c r="X7" s="93">
        <v>244476</v>
      </c>
      <c r="Y7" s="93">
        <v>3139.01699999537</v>
      </c>
      <c r="Z7" s="93">
        <v>0</v>
      </c>
    </row>
    <row r="8" spans="1:26" x14ac:dyDescent="0.25">
      <c r="A8" s="80">
        <v>470137</v>
      </c>
      <c r="B8" s="81" t="s">
        <v>83</v>
      </c>
      <c r="C8" s="30" t="s">
        <v>8</v>
      </c>
      <c r="D8" s="84">
        <v>10.48</v>
      </c>
      <c r="E8" s="87">
        <v>22200</v>
      </c>
      <c r="F8" s="86">
        <f t="shared" si="0"/>
        <v>232656</v>
      </c>
      <c r="G8" s="86">
        <f t="shared" si="1"/>
        <v>277960.32490993332</v>
      </c>
      <c r="H8" s="82">
        <v>195530</v>
      </c>
      <c r="I8" s="28">
        <f t="shared" si="6"/>
        <v>223429.41699999801</v>
      </c>
      <c r="J8" s="26">
        <f t="shared" si="2"/>
        <v>1.3269081139185117</v>
      </c>
      <c r="K8" s="80">
        <v>530378</v>
      </c>
      <c r="L8" s="82">
        <v>196820</v>
      </c>
      <c r="M8" s="89">
        <v>3</v>
      </c>
      <c r="N8" s="24">
        <f t="shared" si="7"/>
        <v>196820</v>
      </c>
      <c r="O8" s="24"/>
      <c r="P8" s="24"/>
      <c r="Q8" s="24">
        <f t="shared" si="3"/>
        <v>3936.4</v>
      </c>
      <c r="R8" s="80">
        <v>470137</v>
      </c>
      <c r="S8" s="23">
        <f t="shared" si="4"/>
        <v>215082.316999998</v>
      </c>
      <c r="T8" s="23">
        <f t="shared" si="5"/>
        <v>4301.6463399999602</v>
      </c>
      <c r="U8" s="56">
        <f t="shared" si="8"/>
        <v>219383.96333999795</v>
      </c>
      <c r="X8" s="93">
        <v>195529.316999998</v>
      </c>
      <c r="Y8" s="93">
        <v>19553</v>
      </c>
      <c r="Z8" s="93">
        <v>8347.1</v>
      </c>
    </row>
    <row r="9" spans="1:26" x14ac:dyDescent="0.25">
      <c r="A9" s="80">
        <v>480180</v>
      </c>
      <c r="B9" s="81" t="s">
        <v>84</v>
      </c>
      <c r="C9" s="30" t="s">
        <v>8</v>
      </c>
      <c r="D9" s="84">
        <v>10.48</v>
      </c>
      <c r="E9" s="87">
        <v>25990</v>
      </c>
      <c r="F9" s="86">
        <f t="shared" si="0"/>
        <v>272375.2</v>
      </c>
      <c r="G9" s="86">
        <f t="shared" si="1"/>
        <v>325413.91191032284</v>
      </c>
      <c r="H9" s="82">
        <v>379612</v>
      </c>
      <c r="I9" s="28">
        <f t="shared" si="6"/>
        <v>413398.37800001557</v>
      </c>
      <c r="J9" s="26">
        <f t="shared" si="2"/>
        <v>0.82070530459140201</v>
      </c>
      <c r="K9" s="80">
        <v>520355</v>
      </c>
      <c r="L9" s="82">
        <v>251568.65899999253</v>
      </c>
      <c r="M9" s="89">
        <v>4</v>
      </c>
      <c r="N9" s="24">
        <v>51022</v>
      </c>
      <c r="O9" s="24">
        <f>+L9-N9</f>
        <v>200546.65899999253</v>
      </c>
      <c r="P9" s="24"/>
      <c r="Q9" s="24">
        <f t="shared" si="3"/>
        <v>1020.44</v>
      </c>
      <c r="R9" s="80">
        <v>480180</v>
      </c>
      <c r="S9" s="23">
        <f t="shared" si="4"/>
        <v>413398.37800001557</v>
      </c>
      <c r="T9" s="23">
        <f t="shared" si="5"/>
        <v>-8267.967560000312</v>
      </c>
      <c r="U9" s="56">
        <f t="shared" si="8"/>
        <v>405130.41044001526</v>
      </c>
      <c r="X9" s="93">
        <v>379610.55200001522</v>
      </c>
      <c r="Y9" s="93">
        <v>33787.826000000328</v>
      </c>
      <c r="Z9" s="93">
        <v>0</v>
      </c>
    </row>
    <row r="10" spans="1:26" x14ac:dyDescent="0.25">
      <c r="A10" s="80">
        <v>520355</v>
      </c>
      <c r="B10" s="81" t="s">
        <v>91</v>
      </c>
      <c r="C10" s="30" t="s">
        <v>7</v>
      </c>
      <c r="D10" s="84">
        <v>10.48</v>
      </c>
      <c r="E10" s="87">
        <v>23000</v>
      </c>
      <c r="F10" s="86">
        <f t="shared" si="0"/>
        <v>241040</v>
      </c>
      <c r="G10" s="86">
        <f t="shared" si="1"/>
        <v>287976.91319497593</v>
      </c>
      <c r="H10" s="82">
        <v>240448</v>
      </c>
      <c r="I10" s="28">
        <f t="shared" si="6"/>
        <v>251568.65899999253</v>
      </c>
      <c r="J10" s="26">
        <f t="shared" si="2"/>
        <v>1.1705982223458833</v>
      </c>
      <c r="K10" s="80">
        <v>440007</v>
      </c>
      <c r="L10" s="82">
        <v>338611</v>
      </c>
      <c r="M10" s="89">
        <v>5</v>
      </c>
      <c r="N10" s="24"/>
      <c r="O10" s="24">
        <f>+L10-N10</f>
        <v>338611</v>
      </c>
      <c r="P10" s="24"/>
      <c r="Q10" s="24">
        <f t="shared" si="3"/>
        <v>0</v>
      </c>
      <c r="R10" s="80">
        <v>520355</v>
      </c>
      <c r="S10" s="23">
        <f t="shared" si="4"/>
        <v>251568.65899999253</v>
      </c>
      <c r="T10" s="23">
        <f t="shared" si="5"/>
        <v>1020.44</v>
      </c>
      <c r="U10" s="56">
        <f t="shared" si="8"/>
        <v>252589.09899999254</v>
      </c>
      <c r="X10" s="93">
        <v>240447.50099999257</v>
      </c>
      <c r="Y10" s="93">
        <v>11121.157999999963</v>
      </c>
      <c r="Z10" s="93">
        <v>0</v>
      </c>
    </row>
    <row r="11" spans="1:26" x14ac:dyDescent="0.25">
      <c r="A11" s="80">
        <v>530334</v>
      </c>
      <c r="B11" s="81" t="s">
        <v>85</v>
      </c>
      <c r="C11" s="30" t="s">
        <v>8</v>
      </c>
      <c r="D11" s="84">
        <v>10.48</v>
      </c>
      <c r="E11" s="87">
        <v>14800</v>
      </c>
      <c r="F11" s="86">
        <f t="shared" si="0"/>
        <v>155104</v>
      </c>
      <c r="G11" s="86">
        <f t="shared" si="1"/>
        <v>185306.88327328887</v>
      </c>
      <c r="H11" s="82">
        <v>137161</v>
      </c>
      <c r="I11" s="28">
        <f t="shared" si="6"/>
        <v>94048.145923298434</v>
      </c>
      <c r="J11" s="26">
        <f t="shared" si="2"/>
        <v>1.6029373105747535</v>
      </c>
      <c r="K11" s="80">
        <v>450066</v>
      </c>
      <c r="L11" s="82">
        <v>247615.01699999537</v>
      </c>
      <c r="M11" s="89">
        <v>6</v>
      </c>
      <c r="N11" s="24"/>
      <c r="O11" s="24">
        <v>60928</v>
      </c>
      <c r="P11" s="24">
        <f>+L11-O11</f>
        <v>186687.01699999537</v>
      </c>
      <c r="Q11" s="24">
        <f t="shared" si="3"/>
        <v>-3733.7403399999075</v>
      </c>
      <c r="R11" s="80">
        <v>530334</v>
      </c>
      <c r="S11" s="23">
        <f t="shared" si="4"/>
        <v>137161</v>
      </c>
      <c r="T11" s="23">
        <f t="shared" si="5"/>
        <v>2743.2200000000003</v>
      </c>
      <c r="U11" s="56">
        <f t="shared" si="8"/>
        <v>139904.22</v>
      </c>
      <c r="X11" s="93">
        <v>94048.145923298434</v>
      </c>
      <c r="Y11" s="93">
        <v>0</v>
      </c>
      <c r="Z11" s="93">
        <v>0</v>
      </c>
    </row>
    <row r="12" spans="1:26" x14ac:dyDescent="0.25">
      <c r="A12" s="80">
        <v>530378</v>
      </c>
      <c r="B12" s="81" t="s">
        <v>86</v>
      </c>
      <c r="C12" s="30" t="s">
        <v>7</v>
      </c>
      <c r="D12" s="84">
        <v>10.48</v>
      </c>
      <c r="E12" s="87">
        <v>18000</v>
      </c>
      <c r="F12" s="86">
        <f t="shared" si="0"/>
        <v>188640</v>
      </c>
      <c r="G12" s="86">
        <f t="shared" si="1"/>
        <v>225373.23641345941</v>
      </c>
      <c r="H12" s="82">
        <v>196820</v>
      </c>
      <c r="I12" s="28">
        <f t="shared" si="6"/>
        <v>178029.60999999801</v>
      </c>
      <c r="J12" s="26">
        <f t="shared" si="2"/>
        <v>1.2024728339104347</v>
      </c>
      <c r="K12" s="80">
        <v>480180</v>
      </c>
      <c r="L12" s="82">
        <v>413398.37800001557</v>
      </c>
      <c r="M12" s="89">
        <v>7</v>
      </c>
      <c r="N12" s="24"/>
      <c r="O12" s="24"/>
      <c r="P12" s="24">
        <f>+L12-O12</f>
        <v>413398.37800001557</v>
      </c>
      <c r="Q12" s="24">
        <f t="shared" si="3"/>
        <v>-8267.967560000312</v>
      </c>
      <c r="R12" s="80">
        <v>530378</v>
      </c>
      <c r="S12" s="23">
        <f t="shared" si="4"/>
        <v>196820</v>
      </c>
      <c r="T12" s="23">
        <f t="shared" si="5"/>
        <v>3936.4</v>
      </c>
      <c r="U12" s="56">
        <f t="shared" si="8"/>
        <v>200756.4</v>
      </c>
      <c r="X12" s="93">
        <v>178029.60999999801</v>
      </c>
      <c r="Y12" s="93">
        <v>0</v>
      </c>
      <c r="Z12" s="93">
        <v>0</v>
      </c>
    </row>
    <row r="13" spans="1:26" ht="14.45" customHeight="1" x14ac:dyDescent="0.25">
      <c r="B13" s="21" t="s">
        <v>5</v>
      </c>
      <c r="D13" s="20"/>
      <c r="E13" s="16">
        <f>SUM(E6:E12)</f>
        <v>143782</v>
      </c>
      <c r="F13" s="86">
        <f>SUM(F6:F12)</f>
        <v>1506835.36</v>
      </c>
      <c r="G13" s="85">
        <v>1800256.3710000014</v>
      </c>
      <c r="H13" s="16">
        <f>SUM(H6:H12)</f>
        <v>1732658</v>
      </c>
      <c r="I13" s="19">
        <f>SUM(I6:I12)</f>
        <v>1723136.1947114011</v>
      </c>
      <c r="J13" s="52">
        <f t="shared" si="2"/>
        <v>1.0418770734409106</v>
      </c>
      <c r="K13" s="18"/>
      <c r="L13" s="18">
        <f>SUM(L6:L12)</f>
        <v>1800256.3710000014</v>
      </c>
      <c r="M13" s="18"/>
      <c r="N13" s="18">
        <f>SUM(N6:N12)</f>
        <v>600085.31699999794</v>
      </c>
      <c r="O13" s="18">
        <f>SUM(O9:O12)</f>
        <v>600085.65899999253</v>
      </c>
      <c r="P13" s="18">
        <f>SUM(P11:P12)</f>
        <v>600085.39500001096</v>
      </c>
      <c r="Q13" s="18">
        <f>SUM(Q6:Q8)</f>
        <v>10981.26633999996</v>
      </c>
      <c r="R13" s="17"/>
      <c r="S13" s="23">
        <f>SUM(S6:S12)</f>
        <v>1800256.3710000014</v>
      </c>
      <c r="T13" s="23">
        <f>SUM(T6:T12)</f>
        <v>-1.5600002593600948E-3</v>
      </c>
      <c r="U13" s="17">
        <f>SUM(U6:U12)</f>
        <v>1800256.369440001</v>
      </c>
      <c r="X13" s="85">
        <f>SUM(X6:X12)</f>
        <v>1647188.0937114055</v>
      </c>
      <c r="Y13" s="85">
        <f>SUM(Y6:Y12)</f>
        <v>67601.000999995667</v>
      </c>
      <c r="Z13" s="85">
        <f>SUM(Z6:Z12)</f>
        <v>8347.1</v>
      </c>
    </row>
    <row r="14" spans="1:26" ht="16.899999999999999" customHeight="1" x14ac:dyDescent="0.25">
      <c r="A14" s="76" t="s">
        <v>73</v>
      </c>
      <c r="K14" s="15" t="s">
        <v>4</v>
      </c>
      <c r="L14" s="14">
        <f>L13/3</f>
        <v>600085.45700000052</v>
      </c>
      <c r="M14" s="13"/>
      <c r="N14" s="12">
        <f>$L14-N13</f>
        <v>0.14000000257510692</v>
      </c>
      <c r="O14" s="12">
        <f>$L14-O13</f>
        <v>-0.20199999201577157</v>
      </c>
      <c r="P14" s="12">
        <f>$L14-P13</f>
        <v>6.1999989557079971E-2</v>
      </c>
    </row>
    <row r="15" spans="1:26" x14ac:dyDescent="0.25">
      <c r="A15" s="76" t="s">
        <v>72</v>
      </c>
    </row>
    <row r="16" spans="1:26" x14ac:dyDescent="0.25">
      <c r="A16" s="50"/>
    </row>
    <row r="17" spans="5:16" ht="18.75" x14ac:dyDescent="0.3">
      <c r="E17" s="11"/>
      <c r="K17" s="113" t="s">
        <v>40</v>
      </c>
      <c r="L17" s="113"/>
      <c r="M17" s="113"/>
      <c r="N17" s="113"/>
    </row>
    <row r="18" spans="5:16" ht="39.6" customHeight="1" x14ac:dyDescent="0.25">
      <c r="G18" s="31"/>
      <c r="H18" s="31"/>
      <c r="I18" s="31"/>
      <c r="K18" s="10" t="s">
        <v>38</v>
      </c>
      <c r="L18" s="8" t="s">
        <v>2</v>
      </c>
      <c r="M18" s="49" t="s">
        <v>21</v>
      </c>
      <c r="N18" s="8" t="s">
        <v>0</v>
      </c>
      <c r="P18" s="51"/>
    </row>
    <row r="19" spans="5:16" x14ac:dyDescent="0.25">
      <c r="G19" s="31"/>
      <c r="H19" s="157"/>
      <c r="I19" s="6"/>
      <c r="J19" s="82"/>
      <c r="K19" s="158">
        <v>1.6029373105747535</v>
      </c>
      <c r="L19" s="6">
        <v>530334</v>
      </c>
      <c r="M19" s="7">
        <v>137161</v>
      </c>
      <c r="N19" s="89">
        <v>1</v>
      </c>
      <c r="P19" s="6"/>
    </row>
    <row r="20" spans="5:16" x14ac:dyDescent="0.25">
      <c r="G20" s="31"/>
      <c r="H20" s="157"/>
      <c r="I20" s="6"/>
      <c r="J20" s="82"/>
      <c r="K20" s="159">
        <v>1.3269081139185117</v>
      </c>
      <c r="L20" s="6">
        <v>470137</v>
      </c>
      <c r="M20" s="7">
        <v>215082.316999998</v>
      </c>
      <c r="N20" s="89">
        <v>2</v>
      </c>
      <c r="P20" s="6"/>
    </row>
    <row r="21" spans="5:16" x14ac:dyDescent="0.25">
      <c r="G21" s="31"/>
      <c r="H21" s="157"/>
      <c r="I21" s="6"/>
      <c r="J21" s="82"/>
      <c r="K21" s="158">
        <v>1.2024728339104347</v>
      </c>
      <c r="L21" s="6">
        <v>530378</v>
      </c>
      <c r="M21" s="7">
        <v>196820</v>
      </c>
      <c r="N21" s="89">
        <v>3</v>
      </c>
      <c r="P21" s="6"/>
    </row>
    <row r="22" spans="5:16" x14ac:dyDescent="0.25">
      <c r="G22" s="31"/>
      <c r="H22" s="157"/>
      <c r="I22" s="6"/>
      <c r="J22" s="82"/>
      <c r="K22" s="159">
        <v>1.1705982223458833</v>
      </c>
      <c r="L22" s="6">
        <v>520355</v>
      </c>
      <c r="M22" s="7">
        <v>251568.65899999253</v>
      </c>
      <c r="N22" s="89">
        <v>4</v>
      </c>
    </row>
    <row r="23" spans="5:16" x14ac:dyDescent="0.25">
      <c r="G23" s="31"/>
      <c r="H23" s="157"/>
      <c r="I23" s="6"/>
      <c r="J23" s="82"/>
      <c r="K23" s="158">
        <v>0.90411000544721265</v>
      </c>
      <c r="L23" s="6">
        <v>440007</v>
      </c>
      <c r="M23" s="7">
        <v>338611</v>
      </c>
      <c r="N23" s="89">
        <v>5</v>
      </c>
    </row>
    <row r="24" spans="5:16" x14ac:dyDescent="0.25">
      <c r="G24" s="31"/>
      <c r="H24" s="157"/>
      <c r="I24" s="6"/>
      <c r="J24" s="82"/>
      <c r="K24" s="159">
        <v>0.82397662174461106</v>
      </c>
      <c r="L24" s="6">
        <v>450066</v>
      </c>
      <c r="M24" s="7">
        <v>247615.01699999537</v>
      </c>
      <c r="N24" s="89">
        <v>6</v>
      </c>
    </row>
    <row r="25" spans="5:16" x14ac:dyDescent="0.25">
      <c r="G25" s="31"/>
      <c r="H25" s="157"/>
      <c r="I25" s="6"/>
      <c r="J25" s="82"/>
      <c r="K25" s="158">
        <v>0.82070530459140201</v>
      </c>
      <c r="L25" s="6">
        <v>480180</v>
      </c>
      <c r="M25" s="7">
        <v>413398.37800001557</v>
      </c>
      <c r="N25" s="89">
        <v>7</v>
      </c>
    </row>
    <row r="26" spans="5:16" x14ac:dyDescent="0.25">
      <c r="G26" s="31"/>
      <c r="H26" s="157"/>
      <c r="I26" s="6"/>
      <c r="J26" s="82"/>
    </row>
  </sheetData>
  <sheetProtection algorithmName="SHA-512" hashValue="s6LR/0RSyapLqpR8bJHaqAPzqxReZ1cmmk8XbAuGoXHkIFxAKQPlu9L3bNHiOaRVi6oTSAIp2BNjRgpjnWrFxA==" saltValue="qeNalKOmae2IGO6M6FASzw==" spinCount="100000" sheet="1" objects="1" scenarios="1"/>
  <sortState ref="K19:N25">
    <sortCondition descending="1" ref="K19"/>
  </sortState>
  <mergeCells count="21">
    <mergeCell ref="Z4:Z5"/>
    <mergeCell ref="K17:N17"/>
    <mergeCell ref="I3:I5"/>
    <mergeCell ref="X4:X5"/>
    <mergeCell ref="X3:Z3"/>
    <mergeCell ref="L4:L5"/>
    <mergeCell ref="M4:M5"/>
    <mergeCell ref="N4:P4"/>
    <mergeCell ref="J3:J5"/>
    <mergeCell ref="Y4:Y5"/>
    <mergeCell ref="R3:U4"/>
    <mergeCell ref="K3:M3"/>
    <mergeCell ref="N3:P3"/>
    <mergeCell ref="Q3:Q5"/>
    <mergeCell ref="K4:K5"/>
    <mergeCell ref="H3:H5"/>
    <mergeCell ref="C3:C5"/>
    <mergeCell ref="D3:D4"/>
    <mergeCell ref="E3:E5"/>
    <mergeCell ref="F3:F5"/>
    <mergeCell ref="G3:G5"/>
  </mergeCells>
  <printOptions horizontalCentered="1"/>
  <pageMargins left="0.70866141732283472" right="0.70866141732283472" top="1.1417322834645669" bottom="0.55118110236220474" header="0.70866141732283472" footer="0.31496062992125984"/>
  <pageSetup paperSize="9" scale="64" orientation="landscape" r:id="rId1"/>
  <headerFooter>
    <oddHeader>&amp;C&amp;"-,Grassetto"&amp;22INDICAZIONI OPERATIVE: Allegato MN_01</oddHeader>
    <oddFooter>&amp;C&amp;14pag. n. &amp;P di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AE30"/>
  <sheetViews>
    <sheetView zoomScaleNormal="100" workbookViewId="0">
      <pane xSplit="3" ySplit="5" topLeftCell="D6" activePane="bottomRight" state="frozen"/>
      <selection activeCell="B4" sqref="B4"/>
      <selection pane="topRight" activeCell="B4" sqref="B4"/>
      <selection pane="bottomLeft" activeCell="B4" sqref="B4"/>
      <selection pane="bottomRight" activeCell="A4" sqref="A4"/>
    </sheetView>
  </sheetViews>
  <sheetFormatPr defaultColWidth="8.85546875" defaultRowHeight="15" x14ac:dyDescent="0.25"/>
  <cols>
    <col min="1" max="1" width="7.85546875" style="3" bestFit="1" customWidth="1"/>
    <col min="2" max="2" width="55.140625" style="2" bestFit="1" customWidth="1"/>
    <col min="3" max="3" width="9.140625" style="1" bestFit="1" customWidth="1"/>
    <col min="4" max="4" width="8" style="1" bestFit="1" customWidth="1"/>
    <col min="5" max="5" width="9.140625" style="1" bestFit="1" customWidth="1"/>
    <col min="6" max="6" width="10.140625" style="1" bestFit="1" customWidth="1"/>
    <col min="7" max="7" width="10.140625" style="1" customWidth="1"/>
    <col min="8" max="9" width="10.140625" style="1" bestFit="1" customWidth="1"/>
    <col min="10" max="10" width="12.28515625" style="1" customWidth="1"/>
    <col min="11" max="11" width="7.85546875" style="1" bestFit="1" customWidth="1"/>
    <col min="12" max="12" width="10.140625" style="1" bestFit="1" customWidth="1"/>
    <col min="13" max="13" width="9.7109375" style="1" customWidth="1"/>
    <col min="14" max="16" width="10.140625" style="1" bestFit="1" customWidth="1"/>
    <col min="17" max="17" width="8.7109375" style="1" customWidth="1"/>
    <col min="18" max="18" width="8.28515625" style="1" bestFit="1" customWidth="1"/>
    <col min="19" max="19" width="10.140625" style="1" bestFit="1" customWidth="1"/>
    <col min="20" max="20" width="8.28515625" style="1" customWidth="1"/>
    <col min="21" max="21" width="10.140625" style="1" bestFit="1" customWidth="1"/>
    <col min="22" max="22" width="4.28515625" style="1" customWidth="1"/>
    <col min="23" max="23" width="4.7109375" style="1" customWidth="1"/>
    <col min="24" max="24" width="14.28515625" style="1" customWidth="1"/>
    <col min="25" max="25" width="13.5703125" style="1" customWidth="1"/>
    <col min="26" max="26" width="11.28515625" style="1" customWidth="1"/>
    <col min="27" max="27" width="8" style="1" customWidth="1"/>
    <col min="28" max="28" width="7.85546875" style="1" customWidth="1"/>
    <col min="29" max="29" width="10.140625" style="1" bestFit="1" customWidth="1"/>
    <col min="30" max="30" width="9.7109375" style="1" customWidth="1"/>
    <col min="31" max="31" width="8.140625" style="1" customWidth="1"/>
    <col min="32" max="33" width="10.7109375" style="1" customWidth="1"/>
    <col min="34" max="16384" width="8.85546875" style="1"/>
  </cols>
  <sheetData>
    <row r="1" spans="1:31" ht="31.9" customHeight="1" x14ac:dyDescent="0.35">
      <c r="A1" s="43" t="s">
        <v>89</v>
      </c>
      <c r="D1" s="42"/>
    </row>
    <row r="2" spans="1:31" ht="16.5" thickBot="1" x14ac:dyDescent="0.3">
      <c r="A2" s="41">
        <v>1</v>
      </c>
      <c r="B2" s="41">
        <v>2</v>
      </c>
      <c r="C2" s="41">
        <v>3</v>
      </c>
      <c r="D2" s="41">
        <v>4</v>
      </c>
      <c r="E2" s="41">
        <v>5</v>
      </c>
      <c r="F2" s="41">
        <v>6</v>
      </c>
      <c r="G2" s="41">
        <v>7</v>
      </c>
      <c r="H2" s="41">
        <v>8</v>
      </c>
      <c r="I2" s="41">
        <v>9</v>
      </c>
      <c r="J2" s="41">
        <v>10</v>
      </c>
      <c r="K2" s="53">
        <v>11</v>
      </c>
      <c r="L2" s="53">
        <v>12</v>
      </c>
      <c r="M2" s="53">
        <v>13</v>
      </c>
      <c r="N2" s="53">
        <v>14</v>
      </c>
      <c r="O2" s="53">
        <v>15</v>
      </c>
      <c r="P2" s="53">
        <v>16</v>
      </c>
      <c r="Q2" s="53">
        <v>17</v>
      </c>
      <c r="R2" s="40">
        <v>18</v>
      </c>
      <c r="S2" s="40">
        <v>19</v>
      </c>
      <c r="T2" s="40">
        <v>20</v>
      </c>
      <c r="U2" s="40">
        <v>21</v>
      </c>
      <c r="X2" s="39"/>
      <c r="Y2" s="39"/>
      <c r="Z2" s="39"/>
    </row>
    <row r="3" spans="1:31" ht="25.15" customHeight="1" x14ac:dyDescent="0.3">
      <c r="A3" s="38" t="s">
        <v>30</v>
      </c>
      <c r="B3" s="57" t="s">
        <v>93</v>
      </c>
      <c r="C3" s="138" t="s">
        <v>36</v>
      </c>
      <c r="D3" s="104" t="s">
        <v>28</v>
      </c>
      <c r="E3" s="105" t="s">
        <v>71</v>
      </c>
      <c r="F3" s="105" t="s">
        <v>27</v>
      </c>
      <c r="G3" s="108" t="s">
        <v>76</v>
      </c>
      <c r="H3" s="139" t="s">
        <v>75</v>
      </c>
      <c r="I3" s="114" t="s">
        <v>26</v>
      </c>
      <c r="J3" s="125" t="s">
        <v>74</v>
      </c>
      <c r="K3" s="132" t="s">
        <v>67</v>
      </c>
      <c r="L3" s="133"/>
      <c r="M3" s="134"/>
      <c r="N3" s="137" t="s">
        <v>25</v>
      </c>
      <c r="O3" s="137"/>
      <c r="P3" s="137"/>
      <c r="Q3" s="136" t="s">
        <v>41</v>
      </c>
      <c r="R3" s="126" t="s">
        <v>49</v>
      </c>
      <c r="S3" s="127"/>
      <c r="T3" s="127"/>
      <c r="U3" s="128"/>
      <c r="V3" s="32">
        <v>0.02</v>
      </c>
      <c r="X3" s="119" t="s">
        <v>24</v>
      </c>
      <c r="Y3" s="120"/>
      <c r="Z3" s="121"/>
    </row>
    <row r="4" spans="1:31" ht="25.15" customHeight="1" x14ac:dyDescent="0.3">
      <c r="A4" s="37" t="s">
        <v>23</v>
      </c>
      <c r="B4" s="36" t="s">
        <v>90</v>
      </c>
      <c r="C4" s="138"/>
      <c r="D4" s="104"/>
      <c r="E4" s="106"/>
      <c r="F4" s="106"/>
      <c r="G4" s="109"/>
      <c r="H4" s="139"/>
      <c r="I4" s="115"/>
      <c r="J4" s="106"/>
      <c r="K4" s="122" t="s">
        <v>22</v>
      </c>
      <c r="L4" s="140" t="s">
        <v>70</v>
      </c>
      <c r="M4" s="122" t="s">
        <v>20</v>
      </c>
      <c r="N4" s="137" t="s">
        <v>80</v>
      </c>
      <c r="O4" s="137"/>
      <c r="P4" s="137"/>
      <c r="Q4" s="136"/>
      <c r="R4" s="129"/>
      <c r="S4" s="130"/>
      <c r="T4" s="130"/>
      <c r="U4" s="131"/>
      <c r="V4" s="32">
        <v>0</v>
      </c>
      <c r="X4" s="117" t="s">
        <v>18</v>
      </c>
      <c r="Y4" s="111" t="s">
        <v>17</v>
      </c>
      <c r="Z4" s="111" t="s">
        <v>16</v>
      </c>
    </row>
    <row r="5" spans="1:31" ht="25.15" customHeight="1" thickBot="1" x14ac:dyDescent="0.3">
      <c r="A5" s="35" t="s">
        <v>15</v>
      </c>
      <c r="B5" s="34" t="s">
        <v>14</v>
      </c>
      <c r="C5" s="138"/>
      <c r="D5" s="33" t="s">
        <v>13</v>
      </c>
      <c r="E5" s="107"/>
      <c r="F5" s="107"/>
      <c r="G5" s="110"/>
      <c r="H5" s="139"/>
      <c r="I5" s="116"/>
      <c r="J5" s="107"/>
      <c r="K5" s="123"/>
      <c r="L5" s="141"/>
      <c r="M5" s="123"/>
      <c r="N5" s="54" t="s">
        <v>12</v>
      </c>
      <c r="O5" s="54" t="s">
        <v>11</v>
      </c>
      <c r="P5" s="54" t="s">
        <v>10</v>
      </c>
      <c r="Q5" s="136"/>
      <c r="R5" s="63" t="s">
        <v>45</v>
      </c>
      <c r="S5" s="55" t="s">
        <v>50</v>
      </c>
      <c r="T5" s="55" t="s">
        <v>47</v>
      </c>
      <c r="U5" s="55" t="s">
        <v>51</v>
      </c>
      <c r="V5" s="32">
        <v>-0.02</v>
      </c>
      <c r="X5" s="118"/>
      <c r="Y5" s="112"/>
      <c r="Z5" s="112"/>
      <c r="AD5" s="48" t="s">
        <v>37</v>
      </c>
    </row>
    <row r="6" spans="1:31" x14ac:dyDescent="0.25">
      <c r="A6" s="80">
        <v>440007</v>
      </c>
      <c r="B6" s="81" t="s">
        <v>81</v>
      </c>
      <c r="C6" s="83"/>
      <c r="D6" s="84">
        <v>10.48</v>
      </c>
      <c r="E6" s="85">
        <f>10672+3312+2944+3680</f>
        <v>20608</v>
      </c>
      <c r="F6" s="27">
        <f t="shared" ref="F6:F12" si="0">E6*D6</f>
        <v>215971.84</v>
      </c>
      <c r="G6" s="27">
        <f t="shared" ref="G6:G12" si="1">F6/F$13*G$13</f>
        <v>268274.51944152167</v>
      </c>
      <c r="H6" s="22">
        <v>338611</v>
      </c>
      <c r="I6" s="28">
        <f>SUM(X6:Z6)</f>
        <v>303395.64599998848</v>
      </c>
      <c r="J6" s="26">
        <f t="shared" ref="J6:J13" si="2">G6/AVERAGE(H6,I6)</f>
        <v>0.83573751490892345</v>
      </c>
      <c r="K6" s="80">
        <v>530334</v>
      </c>
      <c r="L6" s="82">
        <v>137161</v>
      </c>
      <c r="M6" s="25">
        <v>1</v>
      </c>
      <c r="N6" s="24">
        <f t="shared" ref="N6:N7" si="3">+L6</f>
        <v>137161</v>
      </c>
      <c r="O6" s="24"/>
      <c r="P6" s="24"/>
      <c r="Q6" s="24">
        <f t="shared" ref="Q6:Q12" si="4">(N6*V$3)+(O6*V$4)+(P6*V$5)</f>
        <v>2743.2200000000003</v>
      </c>
      <c r="R6" s="80">
        <v>440007</v>
      </c>
      <c r="S6" s="23">
        <f t="shared" ref="S6:S12" si="5">VLOOKUP(R6,$K$6:$Q$12,2,FALSE)</f>
        <v>338611</v>
      </c>
      <c r="T6" s="23">
        <f t="shared" ref="T6:T12" si="6">VLOOKUP(R6,$K$6:$Q$12,7,FALSE)</f>
        <v>-3733.7400000000002</v>
      </c>
      <c r="U6" s="56">
        <f>T6+S6</f>
        <v>334877.26</v>
      </c>
      <c r="X6" s="93">
        <v>303395.64599998848</v>
      </c>
      <c r="Y6" s="93">
        <v>0</v>
      </c>
      <c r="Z6" s="93">
        <v>0</v>
      </c>
      <c r="AB6" s="1" t="e">
        <f>IF(C6=AD_NA1_2022!#REF!,0,100)</f>
        <v>#REF!</v>
      </c>
      <c r="AD6" s="1" t="s">
        <v>6</v>
      </c>
      <c r="AE6" s="1">
        <f>IF(AD6=C6,0,100)</f>
        <v>100</v>
      </c>
    </row>
    <row r="7" spans="1:31" x14ac:dyDescent="0.25">
      <c r="A7" s="80">
        <v>450066</v>
      </c>
      <c r="B7" s="81" t="s">
        <v>82</v>
      </c>
      <c r="C7" s="83"/>
      <c r="D7" s="84">
        <v>10.48</v>
      </c>
      <c r="E7" s="85">
        <v>16192</v>
      </c>
      <c r="F7" s="86">
        <f t="shared" si="0"/>
        <v>169692.16</v>
      </c>
      <c r="G7" s="86">
        <f t="shared" si="1"/>
        <v>210787.12241833846</v>
      </c>
      <c r="H7" s="82">
        <v>247615.01699999537</v>
      </c>
      <c r="I7" s="28">
        <f t="shared" ref="I7:I12" si="7">SUM(X7:Z7)</f>
        <v>247050.4319999888</v>
      </c>
      <c r="J7" s="26">
        <f t="shared" si="2"/>
        <v>0.85224113729578554</v>
      </c>
      <c r="K7" s="80">
        <v>520355</v>
      </c>
      <c r="L7" s="82">
        <v>251568.65899999253</v>
      </c>
      <c r="M7" s="25">
        <v>2</v>
      </c>
      <c r="N7" s="24">
        <f t="shared" si="3"/>
        <v>251568.65899999253</v>
      </c>
      <c r="O7" s="24"/>
      <c r="P7" s="24"/>
      <c r="Q7" s="24">
        <f t="shared" si="4"/>
        <v>5031.3731799998504</v>
      </c>
      <c r="R7" s="80">
        <v>450066</v>
      </c>
      <c r="S7" s="23">
        <f t="shared" si="5"/>
        <v>247615.01699999537</v>
      </c>
      <c r="T7" s="23">
        <f t="shared" si="6"/>
        <v>0</v>
      </c>
      <c r="U7" s="56">
        <f t="shared" ref="U7:U12" si="8">T7+S7</f>
        <v>247615.01699999537</v>
      </c>
      <c r="X7" s="93">
        <v>247050.4319999888</v>
      </c>
      <c r="Y7" s="93">
        <v>0</v>
      </c>
      <c r="Z7" s="93">
        <v>0</v>
      </c>
      <c r="AB7" s="1">
        <f>IF(C7=AD_NA1_2022!C6,0,100)</f>
        <v>100</v>
      </c>
      <c r="AD7" s="1" t="s">
        <v>8</v>
      </c>
      <c r="AE7" s="1">
        <f>IF(AD7=C7,0,100)</f>
        <v>100</v>
      </c>
    </row>
    <row r="8" spans="1:31" x14ac:dyDescent="0.25">
      <c r="A8" s="80">
        <v>470137</v>
      </c>
      <c r="B8" s="81" t="s">
        <v>83</v>
      </c>
      <c r="C8" s="83"/>
      <c r="D8" s="84">
        <v>10.48</v>
      </c>
      <c r="E8" s="85">
        <f>11800+3200+2000+2000</f>
        <v>19000</v>
      </c>
      <c r="F8" s="86">
        <f t="shared" si="0"/>
        <v>199120</v>
      </c>
      <c r="G8" s="86">
        <f t="shared" si="1"/>
        <v>247341.60856894954</v>
      </c>
      <c r="H8" s="82">
        <v>215082.316999998</v>
      </c>
      <c r="I8" s="28">
        <f t="shared" si="7"/>
        <v>209112.89399999444</v>
      </c>
      <c r="J8" s="26">
        <f t="shared" si="2"/>
        <v>1.1661687928341744</v>
      </c>
      <c r="K8" s="80">
        <v>470137</v>
      </c>
      <c r="L8" s="82">
        <v>215082.316999998</v>
      </c>
      <c r="M8" s="25">
        <v>3</v>
      </c>
      <c r="N8" s="24">
        <v>211356</v>
      </c>
      <c r="O8" s="24">
        <f>+L8-N8</f>
        <v>3726.3169999980018</v>
      </c>
      <c r="P8" s="24"/>
      <c r="Q8" s="24">
        <f t="shared" si="4"/>
        <v>4227.12</v>
      </c>
      <c r="R8" s="80">
        <v>470137</v>
      </c>
      <c r="S8" s="23">
        <f t="shared" si="5"/>
        <v>215082.316999998</v>
      </c>
      <c r="T8" s="23">
        <f t="shared" si="6"/>
        <v>4227.12</v>
      </c>
      <c r="U8" s="56">
        <f t="shared" si="8"/>
        <v>219309.436999998</v>
      </c>
      <c r="X8" s="93">
        <v>209112.89399999444</v>
      </c>
      <c r="Y8" s="93">
        <v>0</v>
      </c>
      <c r="Z8" s="93">
        <v>0</v>
      </c>
      <c r="AB8" s="1">
        <f>IF(C8=AD_NA1_2022!C7,0,100)</f>
        <v>100</v>
      </c>
      <c r="AD8" s="1" t="s">
        <v>9</v>
      </c>
      <c r="AE8" s="1">
        <f>IF(AD8=C8,0,100)</f>
        <v>100</v>
      </c>
    </row>
    <row r="9" spans="1:31" s="81" customFormat="1" x14ac:dyDescent="0.25">
      <c r="A9" s="80">
        <v>480180</v>
      </c>
      <c r="B9" s="81" t="s">
        <v>84</v>
      </c>
      <c r="C9" s="83"/>
      <c r="D9" s="84">
        <v>10.48</v>
      </c>
      <c r="E9" s="85">
        <f>11960+4600+5750+3680</f>
        <v>25990</v>
      </c>
      <c r="F9" s="86">
        <f t="shared" si="0"/>
        <v>272375.2</v>
      </c>
      <c r="G9" s="86">
        <f t="shared" si="1"/>
        <v>338337.28456352622</v>
      </c>
      <c r="H9" s="82">
        <v>413398.37800001557</v>
      </c>
      <c r="I9" s="28">
        <f t="shared" si="7"/>
        <v>412450.67799999169</v>
      </c>
      <c r="J9" s="26">
        <f t="shared" si="2"/>
        <v>0.81936833881547289</v>
      </c>
      <c r="K9" s="80">
        <v>530378</v>
      </c>
      <c r="L9" s="82">
        <v>196820</v>
      </c>
      <c r="M9" s="25">
        <v>4</v>
      </c>
      <c r="N9" s="24"/>
      <c r="O9" s="24">
        <f>+L9</f>
        <v>196820</v>
      </c>
      <c r="P9" s="24"/>
      <c r="Q9" s="24">
        <f t="shared" si="4"/>
        <v>0</v>
      </c>
      <c r="R9" s="80">
        <v>480180</v>
      </c>
      <c r="S9" s="23">
        <f t="shared" si="5"/>
        <v>413398.37800001557</v>
      </c>
      <c r="T9" s="23">
        <f t="shared" si="6"/>
        <v>-8267.967560000312</v>
      </c>
      <c r="U9" s="56">
        <f t="shared" si="8"/>
        <v>405130.41044001526</v>
      </c>
      <c r="X9" s="93">
        <v>412450.67799999169</v>
      </c>
      <c r="Y9" s="93">
        <v>0</v>
      </c>
      <c r="Z9" s="93">
        <v>0</v>
      </c>
    </row>
    <row r="10" spans="1:31" s="81" customFormat="1" x14ac:dyDescent="0.25">
      <c r="A10" s="80">
        <v>520355</v>
      </c>
      <c r="B10" s="81" t="s">
        <v>92</v>
      </c>
      <c r="C10" s="83"/>
      <c r="D10" s="84">
        <v>10.48</v>
      </c>
      <c r="E10" s="85">
        <f>9000+5000+5000+4000</f>
        <v>23000</v>
      </c>
      <c r="F10" s="86">
        <f t="shared" si="0"/>
        <v>241040</v>
      </c>
      <c r="G10" s="86">
        <f t="shared" si="1"/>
        <v>299413.52616241254</v>
      </c>
      <c r="H10" s="82">
        <v>251568.65899999253</v>
      </c>
      <c r="I10" s="28">
        <f t="shared" si="7"/>
        <v>250375.11399997622</v>
      </c>
      <c r="J10" s="26">
        <f t="shared" si="2"/>
        <v>1.1930161992962156</v>
      </c>
      <c r="K10" s="80">
        <v>450066</v>
      </c>
      <c r="L10" s="82">
        <v>247615.01699999537</v>
      </c>
      <c r="M10" s="25">
        <v>5</v>
      </c>
      <c r="N10" s="24"/>
      <c r="O10" s="24">
        <f>+L10</f>
        <v>247615.01699999537</v>
      </c>
      <c r="P10" s="24"/>
      <c r="Q10" s="24">
        <f t="shared" si="4"/>
        <v>0</v>
      </c>
      <c r="R10" s="80">
        <v>520355</v>
      </c>
      <c r="S10" s="23">
        <f t="shared" si="5"/>
        <v>251568.65899999253</v>
      </c>
      <c r="T10" s="23">
        <f t="shared" si="6"/>
        <v>5031.3731799998504</v>
      </c>
      <c r="U10" s="56">
        <f t="shared" si="8"/>
        <v>256600.03217999238</v>
      </c>
      <c r="X10" s="93">
        <v>250375.11399997622</v>
      </c>
      <c r="Y10" s="93">
        <v>0</v>
      </c>
      <c r="Z10" s="93">
        <v>0</v>
      </c>
    </row>
    <row r="11" spans="1:31" s="81" customFormat="1" x14ac:dyDescent="0.25">
      <c r="A11" s="80">
        <v>530334</v>
      </c>
      <c r="B11" s="81" t="s">
        <v>85</v>
      </c>
      <c r="C11" s="83"/>
      <c r="D11" s="84">
        <v>10.48</v>
      </c>
      <c r="E11" s="85">
        <f>8000+4000+3000+4000</f>
        <v>19000</v>
      </c>
      <c r="F11" s="86">
        <f t="shared" si="0"/>
        <v>199120</v>
      </c>
      <c r="G11" s="86">
        <f t="shared" si="1"/>
        <v>247341.60856894954</v>
      </c>
      <c r="H11" s="82">
        <v>137161</v>
      </c>
      <c r="I11" s="28">
        <f t="shared" si="7"/>
        <v>128928.09000000096</v>
      </c>
      <c r="J11" s="26">
        <f t="shared" si="2"/>
        <v>1.8590886876944008</v>
      </c>
      <c r="K11" s="80">
        <v>440007</v>
      </c>
      <c r="L11" s="82">
        <v>338611</v>
      </c>
      <c r="M11" s="25">
        <v>6</v>
      </c>
      <c r="N11" s="24"/>
      <c r="O11" s="24">
        <v>151924</v>
      </c>
      <c r="P11" s="24">
        <f>+L11-O11</f>
        <v>186687</v>
      </c>
      <c r="Q11" s="24">
        <f t="shared" si="4"/>
        <v>-3733.7400000000002</v>
      </c>
      <c r="R11" s="80">
        <v>530334</v>
      </c>
      <c r="S11" s="23">
        <f t="shared" si="5"/>
        <v>137161</v>
      </c>
      <c r="T11" s="23">
        <f t="shared" si="6"/>
        <v>2743.2200000000003</v>
      </c>
      <c r="U11" s="56">
        <f t="shared" si="8"/>
        <v>139904.22</v>
      </c>
      <c r="X11" s="93">
        <v>128928.09000000096</v>
      </c>
      <c r="Y11" s="93">
        <v>0</v>
      </c>
      <c r="Z11" s="93">
        <v>0</v>
      </c>
    </row>
    <row r="12" spans="1:31" s="81" customFormat="1" x14ac:dyDescent="0.25">
      <c r="A12" s="80">
        <v>530378</v>
      </c>
      <c r="B12" s="81" t="s">
        <v>86</v>
      </c>
      <c r="C12" s="83"/>
      <c r="D12" s="84">
        <v>10.48</v>
      </c>
      <c r="E12" s="85">
        <f>5000+4000+2500+3000</f>
        <v>14500</v>
      </c>
      <c r="F12" s="86">
        <f t="shared" si="0"/>
        <v>151960</v>
      </c>
      <c r="G12" s="86">
        <f t="shared" si="1"/>
        <v>188760.70127630359</v>
      </c>
      <c r="H12" s="82">
        <v>196820</v>
      </c>
      <c r="I12" s="28">
        <f t="shared" si="7"/>
        <v>201791.15399999166</v>
      </c>
      <c r="J12" s="26">
        <f t="shared" si="2"/>
        <v>0.94709191843792484</v>
      </c>
      <c r="K12" s="80">
        <v>480180</v>
      </c>
      <c r="L12" s="82">
        <v>413398.37800001557</v>
      </c>
      <c r="M12" s="25">
        <v>7</v>
      </c>
      <c r="N12" s="24"/>
      <c r="O12" s="24"/>
      <c r="P12" s="24">
        <f>+L12</f>
        <v>413398.37800001557</v>
      </c>
      <c r="Q12" s="24">
        <f t="shared" si="4"/>
        <v>-8267.967560000312</v>
      </c>
      <c r="R12" s="80">
        <v>530378</v>
      </c>
      <c r="S12" s="23">
        <f t="shared" si="5"/>
        <v>196820</v>
      </c>
      <c r="T12" s="23">
        <f t="shared" si="6"/>
        <v>0</v>
      </c>
      <c r="U12" s="56">
        <f t="shared" si="8"/>
        <v>196820</v>
      </c>
      <c r="X12" s="93">
        <v>196820</v>
      </c>
      <c r="Y12" s="93">
        <v>4971.1539999916567</v>
      </c>
      <c r="Z12" s="93">
        <v>0</v>
      </c>
    </row>
    <row r="13" spans="1:31" ht="14.45" customHeight="1" x14ac:dyDescent="0.25">
      <c r="B13" s="21" t="s">
        <v>5</v>
      </c>
      <c r="D13" s="20"/>
      <c r="E13" s="16">
        <f>SUM(E6:E12)</f>
        <v>138290</v>
      </c>
      <c r="F13" s="16">
        <f>SUM(F6:F12)</f>
        <v>1449279.2</v>
      </c>
      <c r="G13" s="85">
        <v>1800256.3710000014</v>
      </c>
      <c r="H13" s="75">
        <f>SUM(H6:H12)</f>
        <v>1800256.3710000014</v>
      </c>
      <c r="I13" s="19">
        <f>SUM(I6:I12)</f>
        <v>1753104.0079999324</v>
      </c>
      <c r="J13" s="52">
        <f t="shared" si="2"/>
        <v>1.0132697947775677</v>
      </c>
      <c r="K13" s="18"/>
      <c r="L13" s="18">
        <f>SUM(L6:L12)</f>
        <v>1800256.3710000014</v>
      </c>
      <c r="M13" s="18"/>
      <c r="N13" s="18">
        <f>SUM(N6:N12)</f>
        <v>600085.65899999253</v>
      </c>
      <c r="O13" s="18">
        <f>SUM(O6:O12)</f>
        <v>600085.3339999934</v>
      </c>
      <c r="P13" s="18">
        <f>SUM(P11:P12)</f>
        <v>600085.37800001563</v>
      </c>
      <c r="Q13" s="18">
        <f>SUM(Q6:Q8)</f>
        <v>12001.71317999985</v>
      </c>
      <c r="R13" s="17"/>
      <c r="S13" s="17">
        <f>SUM(S6:S8)</f>
        <v>801308.33399999328</v>
      </c>
      <c r="T13" s="17">
        <f>SUM(T6:T12)</f>
        <v>5.6199995378847234E-3</v>
      </c>
      <c r="U13" s="17">
        <f>SUM(U6:U12)</f>
        <v>1800256.3766200012</v>
      </c>
      <c r="X13" s="16">
        <f t="shared" ref="X13:Z13" si="9">SUM(X6:X8)</f>
        <v>759558.97199997166</v>
      </c>
      <c r="Y13" s="16">
        <f t="shared" si="9"/>
        <v>0</v>
      </c>
      <c r="Z13" s="16">
        <f t="shared" si="9"/>
        <v>0</v>
      </c>
    </row>
    <row r="14" spans="1:31" ht="16.899999999999999" customHeight="1" x14ac:dyDescent="0.25">
      <c r="A14" s="76" t="s">
        <v>73</v>
      </c>
      <c r="K14" s="15" t="s">
        <v>4</v>
      </c>
      <c r="L14" s="14">
        <f>L13/3</f>
        <v>600085.45700000052</v>
      </c>
      <c r="M14" s="13"/>
      <c r="N14" s="12">
        <f>$L14-N13</f>
        <v>-0.20199999201577157</v>
      </c>
      <c r="O14" s="12">
        <f>$L14-O13</f>
        <v>0.12300000712275505</v>
      </c>
      <c r="P14" s="12">
        <f>$L14-P13</f>
        <v>7.8999984893016517E-2</v>
      </c>
    </row>
    <row r="15" spans="1:31" x14ac:dyDescent="0.25">
      <c r="A15" s="76" t="s">
        <v>72</v>
      </c>
    </row>
    <row r="16" spans="1:31" x14ac:dyDescent="0.25">
      <c r="A16" s="50"/>
    </row>
    <row r="17" spans="1:14" x14ac:dyDescent="0.25">
      <c r="A17" s="50"/>
    </row>
    <row r="18" spans="1:14" x14ac:dyDescent="0.25">
      <c r="A18" s="50"/>
    </row>
    <row r="19" spans="1:14" ht="18" customHeight="1" x14ac:dyDescent="0.3">
      <c r="E19" s="11"/>
      <c r="K19" s="113" t="s">
        <v>40</v>
      </c>
      <c r="L19" s="113"/>
      <c r="M19" s="113"/>
      <c r="N19" s="113"/>
    </row>
    <row r="20" spans="1:14" ht="41.45" customHeight="1" x14ac:dyDescent="0.25">
      <c r="K20" s="10" t="s">
        <v>38</v>
      </c>
      <c r="L20" s="8" t="s">
        <v>2</v>
      </c>
      <c r="M20" s="9" t="s">
        <v>1</v>
      </c>
      <c r="N20" s="8" t="s">
        <v>0</v>
      </c>
    </row>
    <row r="21" spans="1:14" x14ac:dyDescent="0.25">
      <c r="H21" s="157"/>
      <c r="I21" s="6"/>
      <c r="J21" s="31"/>
      <c r="K21" s="160">
        <v>1.8590886876944008</v>
      </c>
      <c r="L21" s="161">
        <v>530334</v>
      </c>
      <c r="M21" s="162">
        <v>137161</v>
      </c>
      <c r="N21" s="89">
        <v>1</v>
      </c>
    </row>
    <row r="22" spans="1:14" x14ac:dyDescent="0.25">
      <c r="H22" s="157"/>
      <c r="I22" s="6"/>
      <c r="J22" s="31"/>
      <c r="K22" s="160">
        <v>1.1930161992962156</v>
      </c>
      <c r="L22" s="161">
        <v>520355</v>
      </c>
      <c r="M22" s="162">
        <v>251568.65899999253</v>
      </c>
      <c r="N22" s="89">
        <v>2</v>
      </c>
    </row>
    <row r="23" spans="1:14" x14ac:dyDescent="0.25">
      <c r="H23" s="157"/>
      <c r="I23" s="6"/>
      <c r="J23" s="31"/>
      <c r="K23" s="160">
        <v>1.1661687928341744</v>
      </c>
      <c r="L23" s="161">
        <v>470137</v>
      </c>
      <c r="M23" s="162">
        <v>215082.316999998</v>
      </c>
      <c r="N23" s="89">
        <v>3</v>
      </c>
    </row>
    <row r="24" spans="1:14" x14ac:dyDescent="0.25">
      <c r="H24" s="157"/>
      <c r="I24" s="6"/>
      <c r="J24" s="31"/>
      <c r="K24" s="160">
        <v>0.94709191843792484</v>
      </c>
      <c r="L24" s="161">
        <v>530378</v>
      </c>
      <c r="M24" s="162">
        <v>196820</v>
      </c>
      <c r="N24" s="89">
        <v>4</v>
      </c>
    </row>
    <row r="25" spans="1:14" x14ac:dyDescent="0.25">
      <c r="H25" s="157"/>
      <c r="I25" s="6"/>
      <c r="J25" s="31"/>
      <c r="K25" s="160">
        <v>0.85224113729578554</v>
      </c>
      <c r="L25" s="161">
        <v>450066</v>
      </c>
      <c r="M25" s="162">
        <v>247615.01699999537</v>
      </c>
      <c r="N25" s="89">
        <v>5</v>
      </c>
    </row>
    <row r="26" spans="1:14" x14ac:dyDescent="0.25">
      <c r="H26" s="157"/>
      <c r="I26" s="6"/>
      <c r="J26" s="31"/>
      <c r="K26" s="160">
        <v>0.83573751490892345</v>
      </c>
      <c r="L26" s="161">
        <v>440007</v>
      </c>
      <c r="M26" s="162">
        <v>338611</v>
      </c>
      <c r="N26" s="89">
        <v>6</v>
      </c>
    </row>
    <row r="27" spans="1:14" x14ac:dyDescent="0.25">
      <c r="H27" s="157"/>
      <c r="I27" s="6"/>
      <c r="J27" s="31"/>
      <c r="K27" s="160">
        <v>0.81936833881547289</v>
      </c>
      <c r="L27" s="161">
        <v>480180</v>
      </c>
      <c r="M27" s="162">
        <v>413398.37800001557</v>
      </c>
      <c r="N27" s="89">
        <v>7</v>
      </c>
    </row>
    <row r="28" spans="1:14" x14ac:dyDescent="0.25">
      <c r="H28" s="157"/>
      <c r="I28" s="6"/>
      <c r="J28" s="31"/>
      <c r="K28" s="163"/>
      <c r="L28" s="6"/>
      <c r="M28" s="7">
        <f>SUM(M21:M27)</f>
        <v>1800256.3710000014</v>
      </c>
      <c r="N28" s="31"/>
    </row>
    <row r="29" spans="1:14" x14ac:dyDescent="0.25">
      <c r="H29" s="31"/>
      <c r="I29" s="31"/>
      <c r="J29" s="31"/>
      <c r="K29" s="31"/>
      <c r="L29" s="31"/>
      <c r="M29" s="31"/>
      <c r="N29" s="31"/>
    </row>
    <row r="30" spans="1:14" x14ac:dyDescent="0.25">
      <c r="A30" s="50"/>
      <c r="H30" s="31"/>
      <c r="I30" s="31"/>
      <c r="J30" s="31"/>
      <c r="K30" s="31"/>
      <c r="L30" s="31"/>
      <c r="M30" s="31"/>
      <c r="N30" s="31"/>
    </row>
  </sheetData>
  <sheetProtection algorithmName="SHA-512" hashValue="M7LlHzUXDJmBK93Z3Nvslb2Z9RqTmaUqZ7T/ErvIvklE8S0qgb9dQn7peUkBxHpBMcnoBvaepNd0LqSSohvU7w==" saltValue="UJx0Axkm6e02X6eUcaJ+5g==" spinCount="100000" sheet="1" objects="1" scenarios="1"/>
  <sortState ref="K21:N28">
    <sortCondition descending="1" ref="K21"/>
  </sortState>
  <mergeCells count="21">
    <mergeCell ref="H3:H5"/>
    <mergeCell ref="I3:I5"/>
    <mergeCell ref="J3:J5"/>
    <mergeCell ref="K4:K5"/>
    <mergeCell ref="L4:L5"/>
    <mergeCell ref="C3:C5"/>
    <mergeCell ref="D3:D4"/>
    <mergeCell ref="E3:E5"/>
    <mergeCell ref="F3:F5"/>
    <mergeCell ref="G3:G5"/>
    <mergeCell ref="K19:N19"/>
    <mergeCell ref="Y4:Y5"/>
    <mergeCell ref="Z4:Z5"/>
    <mergeCell ref="Q3:Q5"/>
    <mergeCell ref="X3:Z3"/>
    <mergeCell ref="R3:U4"/>
    <mergeCell ref="X4:X5"/>
    <mergeCell ref="K3:M3"/>
    <mergeCell ref="N3:P3"/>
    <mergeCell ref="M4:M5"/>
    <mergeCell ref="N4:P4"/>
  </mergeCells>
  <printOptions horizontalCentered="1"/>
  <pageMargins left="0.70866141732283472" right="0.70866141732283472" top="1.1417322834645669" bottom="0.55118110236220474" header="0.70866141732283472" footer="0.31496062992125984"/>
  <pageSetup paperSize="9" scale="64" orientation="landscape" r:id="rId1"/>
  <headerFooter>
    <oddHeader>&amp;C&amp;"-,Grassetto"&amp;22INDICAZIONI OPERATIVE: Allegato MN_02</oddHeader>
    <oddFooter>&amp;C&amp;14pag. n. &amp;P di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AI30"/>
  <sheetViews>
    <sheetView tabSelected="1" zoomScaleNormal="100" workbookViewId="0">
      <pane xSplit="2" ySplit="5" topLeftCell="C6" activePane="bottomRight" state="frozen"/>
      <selection activeCell="A4" sqref="A4"/>
      <selection pane="topRight" activeCell="A4" sqref="A4"/>
      <selection pane="bottomLeft" activeCell="A4" sqref="A4"/>
      <selection pane="bottomRight" activeCell="K19" sqref="K19"/>
    </sheetView>
  </sheetViews>
  <sheetFormatPr defaultColWidth="8.85546875" defaultRowHeight="15" x14ac:dyDescent="0.25"/>
  <cols>
    <col min="1" max="1" width="7.85546875" style="3" bestFit="1" customWidth="1"/>
    <col min="2" max="2" width="63.85546875" style="2" bestFit="1" customWidth="1"/>
    <col min="3" max="3" width="0.85546875" style="1" customWidth="1"/>
    <col min="4" max="4" width="10.140625" style="1" customWidth="1"/>
    <col min="5" max="5" width="0.85546875" style="1" customWidth="1"/>
    <col min="6" max="6" width="8.85546875" style="1" bestFit="1" customWidth="1"/>
    <col min="7" max="8" width="10.140625" style="1" customWidth="1"/>
    <col min="9" max="9" width="6.7109375" style="1" customWidth="1"/>
    <col min="10" max="11" width="10.140625" style="1" bestFit="1" customWidth="1"/>
    <col min="12" max="12" width="10.7109375" style="1" customWidth="1"/>
    <col min="13" max="13" width="8.7109375" style="1" customWidth="1"/>
    <col min="14" max="14" width="0.85546875" style="1" customWidth="1"/>
    <col min="15" max="15" width="9.7109375" style="1" customWidth="1"/>
    <col min="16" max="17" width="10.140625" style="1" customWidth="1"/>
    <col min="18" max="18" width="6.7109375" style="1" customWidth="1"/>
    <col min="19" max="21" width="10.140625" style="1" bestFit="1" customWidth="1"/>
    <col min="22" max="22" width="8.7109375" style="1" customWidth="1"/>
    <col min="23" max="23" width="0.85546875" style="1" customWidth="1"/>
    <col min="24" max="24" width="8.7109375" style="1" customWidth="1"/>
    <col min="25" max="26" width="10.7109375" style="1" customWidth="1"/>
    <col min="27" max="27" width="0.85546875" style="1" customWidth="1"/>
    <col min="28" max="29" width="10.7109375" style="1" customWidth="1"/>
    <col min="30" max="30" width="0.85546875" style="1" customWidth="1"/>
    <col min="31" max="31" width="12.85546875" style="1" customWidth="1"/>
    <col min="32" max="33" width="4.140625" style="1" bestFit="1" customWidth="1"/>
    <col min="34" max="34" width="2.7109375" style="1" customWidth="1"/>
    <col min="35" max="35" width="10.28515625" style="1" customWidth="1"/>
    <col min="36" max="36" width="6.5703125" style="1" bestFit="1" customWidth="1"/>
    <col min="37" max="51" width="10.7109375" style="1" customWidth="1"/>
    <col min="52" max="16384" width="8.85546875" style="1"/>
  </cols>
  <sheetData>
    <row r="1" spans="1:35" ht="31.9" customHeight="1" x14ac:dyDescent="0.25">
      <c r="A1" s="47" t="s">
        <v>89</v>
      </c>
    </row>
    <row r="2" spans="1:35" ht="16.149999999999999" customHeight="1" x14ac:dyDescent="0.25">
      <c r="A2" s="41">
        <v>1</v>
      </c>
      <c r="B2" s="41">
        <v>2</v>
      </c>
      <c r="C2" s="64"/>
      <c r="D2" s="41">
        <v>3</v>
      </c>
      <c r="E2" s="64"/>
      <c r="F2" s="53">
        <v>4</v>
      </c>
      <c r="G2" s="53">
        <v>5</v>
      </c>
      <c r="H2" s="53">
        <v>6</v>
      </c>
      <c r="I2" s="53">
        <v>7</v>
      </c>
      <c r="J2" s="53">
        <v>8</v>
      </c>
      <c r="K2" s="53">
        <v>9</v>
      </c>
      <c r="L2" s="53">
        <v>10</v>
      </c>
      <c r="M2" s="53">
        <v>11</v>
      </c>
      <c r="N2" s="64"/>
      <c r="O2" s="53">
        <v>12</v>
      </c>
      <c r="P2" s="53">
        <v>13</v>
      </c>
      <c r="Q2" s="53">
        <v>14</v>
      </c>
      <c r="R2" s="53">
        <v>15</v>
      </c>
      <c r="S2" s="53">
        <v>16</v>
      </c>
      <c r="T2" s="53">
        <v>17</v>
      </c>
      <c r="U2" s="53">
        <v>18</v>
      </c>
      <c r="V2" s="53">
        <v>19</v>
      </c>
      <c r="W2" s="64"/>
      <c r="X2" s="72">
        <v>20</v>
      </c>
      <c r="Y2" s="72">
        <v>21</v>
      </c>
      <c r="Z2" s="72">
        <v>22</v>
      </c>
      <c r="AA2" s="73"/>
      <c r="AB2" s="72">
        <v>23</v>
      </c>
      <c r="AC2" s="72">
        <v>24</v>
      </c>
      <c r="AD2" s="64"/>
      <c r="AE2" s="71" t="s">
        <v>56</v>
      </c>
    </row>
    <row r="3" spans="1:35" ht="22.15" customHeight="1" x14ac:dyDescent="0.25">
      <c r="A3" s="37" t="s">
        <v>30</v>
      </c>
      <c r="B3" s="57" t="s">
        <v>93</v>
      </c>
      <c r="C3" s="64"/>
      <c r="D3" s="150" t="s">
        <v>55</v>
      </c>
      <c r="E3" s="64"/>
      <c r="F3" s="132" t="s">
        <v>59</v>
      </c>
      <c r="G3" s="133"/>
      <c r="H3" s="133"/>
      <c r="I3" s="134"/>
      <c r="J3" s="124" t="s">
        <v>25</v>
      </c>
      <c r="K3" s="124"/>
      <c r="L3" s="124"/>
      <c r="M3" s="145" t="s">
        <v>68</v>
      </c>
      <c r="N3" s="64"/>
      <c r="O3" s="132" t="s">
        <v>58</v>
      </c>
      <c r="P3" s="133"/>
      <c r="Q3" s="133"/>
      <c r="R3" s="134"/>
      <c r="S3" s="124" t="s">
        <v>25</v>
      </c>
      <c r="T3" s="124"/>
      <c r="U3" s="124"/>
      <c r="V3" s="145" t="s">
        <v>69</v>
      </c>
      <c r="W3" s="64"/>
      <c r="X3" s="156" t="s">
        <v>63</v>
      </c>
      <c r="Y3" s="152" t="s">
        <v>52</v>
      </c>
      <c r="Z3" s="153"/>
      <c r="AA3" s="73"/>
      <c r="AB3" s="147" t="s">
        <v>65</v>
      </c>
      <c r="AC3" s="147" t="s">
        <v>66</v>
      </c>
      <c r="AD3" s="64"/>
      <c r="AE3" s="151" t="s">
        <v>64</v>
      </c>
      <c r="AG3" s="32">
        <v>0.03</v>
      </c>
      <c r="AI3" s="105" t="s">
        <v>57</v>
      </c>
    </row>
    <row r="4" spans="1:35" ht="22.15" customHeight="1" x14ac:dyDescent="0.25">
      <c r="A4" s="37" t="s">
        <v>23</v>
      </c>
      <c r="B4" s="65" t="s">
        <v>90</v>
      </c>
      <c r="C4" s="64"/>
      <c r="D4" s="150"/>
      <c r="E4" s="64"/>
      <c r="F4" s="146" t="s">
        <v>22</v>
      </c>
      <c r="G4" s="145" t="s">
        <v>60</v>
      </c>
      <c r="H4" s="145" t="s">
        <v>87</v>
      </c>
      <c r="I4" s="146" t="s">
        <v>20</v>
      </c>
      <c r="J4" s="124" t="s">
        <v>19</v>
      </c>
      <c r="K4" s="124"/>
      <c r="L4" s="124"/>
      <c r="M4" s="145"/>
      <c r="N4" s="64"/>
      <c r="O4" s="146" t="s">
        <v>22</v>
      </c>
      <c r="P4" s="145" t="s">
        <v>60</v>
      </c>
      <c r="Q4" s="145" t="s">
        <v>88</v>
      </c>
      <c r="R4" s="146" t="s">
        <v>20</v>
      </c>
      <c r="S4" s="124" t="s">
        <v>19</v>
      </c>
      <c r="T4" s="124"/>
      <c r="U4" s="124"/>
      <c r="V4" s="145"/>
      <c r="W4" s="64"/>
      <c r="X4" s="156"/>
      <c r="Y4" s="154"/>
      <c r="Z4" s="155"/>
      <c r="AA4" s="73"/>
      <c r="AB4" s="148"/>
      <c r="AC4" s="148"/>
      <c r="AD4" s="64"/>
      <c r="AE4" s="151"/>
      <c r="AG4" s="32">
        <v>0</v>
      </c>
      <c r="AI4" s="106"/>
    </row>
    <row r="5" spans="1:35" ht="22.35" customHeight="1" x14ac:dyDescent="0.25">
      <c r="A5" s="59" t="s">
        <v>15</v>
      </c>
      <c r="B5" s="60" t="s">
        <v>14</v>
      </c>
      <c r="C5" s="64"/>
      <c r="D5" s="150"/>
      <c r="E5" s="64"/>
      <c r="F5" s="146"/>
      <c r="G5" s="145"/>
      <c r="H5" s="145"/>
      <c r="I5" s="146"/>
      <c r="J5" s="62" t="s">
        <v>12</v>
      </c>
      <c r="K5" s="62" t="s">
        <v>11</v>
      </c>
      <c r="L5" s="62" t="s">
        <v>10</v>
      </c>
      <c r="M5" s="145"/>
      <c r="N5" s="64"/>
      <c r="O5" s="146"/>
      <c r="P5" s="145"/>
      <c r="Q5" s="145"/>
      <c r="R5" s="146"/>
      <c r="S5" s="62" t="s">
        <v>12</v>
      </c>
      <c r="T5" s="62" t="s">
        <v>11</v>
      </c>
      <c r="U5" s="62" t="s">
        <v>10</v>
      </c>
      <c r="V5" s="145"/>
      <c r="W5" s="64"/>
      <c r="X5" s="156"/>
      <c r="Y5" s="74" t="s">
        <v>61</v>
      </c>
      <c r="Z5" s="66" t="s">
        <v>62</v>
      </c>
      <c r="AA5" s="73"/>
      <c r="AB5" s="149"/>
      <c r="AC5" s="149"/>
      <c r="AD5" s="64"/>
      <c r="AE5" s="151"/>
      <c r="AG5" s="32">
        <v>-0.03</v>
      </c>
      <c r="AI5" s="107"/>
    </row>
    <row r="6" spans="1:35" x14ac:dyDescent="0.25">
      <c r="A6" s="80">
        <v>440007</v>
      </c>
      <c r="B6" s="81" t="s">
        <v>81</v>
      </c>
      <c r="D6" s="82">
        <v>338611</v>
      </c>
      <c r="F6" s="94">
        <v>470137</v>
      </c>
      <c r="G6" s="91">
        <f>+VLOOKUP(F6,'[2]Tracciato di rilevazione_2022'!$B$3:$AT$9,45,0)</f>
        <v>18</v>
      </c>
      <c r="H6" s="5">
        <f>+VLOOKUP(F6,AD_NA1_2022!$A$6:$U$12,21,0)</f>
        <v>219383.96333999795</v>
      </c>
      <c r="I6" s="25">
        <v>1</v>
      </c>
      <c r="J6" s="1">
        <f>+H6</f>
        <v>219383.96333999795</v>
      </c>
      <c r="K6" s="1">
        <f>+H6-J6</f>
        <v>0</v>
      </c>
      <c r="M6" s="67">
        <f t="shared" ref="M6:M12" si="0">(J6*$AG$3)+(K6*$AG$4)+(L6*$AG$5)</f>
        <v>6581.5189001999379</v>
      </c>
      <c r="O6" s="95">
        <v>450066</v>
      </c>
      <c r="P6" s="81"/>
      <c r="Q6" s="5">
        <v>247615.01699999537</v>
      </c>
      <c r="R6" s="25">
        <v>1</v>
      </c>
      <c r="S6" s="1">
        <f>+Q6</f>
        <v>247615.01699999537</v>
      </c>
      <c r="V6" s="24">
        <f t="shared" ref="V6:V12" si="1">(S6*$AG$3)+(T6*$AG$4)+(U6*$AG$5)</f>
        <v>7428.4505099998605</v>
      </c>
      <c r="X6" s="80">
        <v>440007</v>
      </c>
      <c r="Y6" s="31">
        <f t="shared" ref="Y6:Y12" si="2">VLOOKUP(X6,$F$6:$M$12,8,FALSE)</f>
        <v>-10158.33</v>
      </c>
      <c r="Z6" s="31">
        <f t="shared" ref="Z6:Z12" si="3">VLOOKUP(X6,$O$6:$V$12,8,FALSE)</f>
        <v>-10046.317800000001</v>
      </c>
      <c r="AA6" s="31"/>
      <c r="AB6" s="7">
        <f>+AD_NA1_2022!T6</f>
        <v>0</v>
      </c>
      <c r="AC6" s="7">
        <f>+AD_NA1_2023!T6</f>
        <v>-3733.7400000000002</v>
      </c>
      <c r="AE6" s="45">
        <f>Y6+Z6+AB6+AC6</f>
        <v>-23938.3878</v>
      </c>
      <c r="AI6" s="46">
        <f t="shared" ref="AI6:AI13" si="4">AE6/D6</f>
        <v>-7.0695836225048797E-2</v>
      </c>
    </row>
    <row r="7" spans="1:35" ht="14.45" customHeight="1" x14ac:dyDescent="0.25">
      <c r="A7" s="80">
        <v>450066</v>
      </c>
      <c r="B7" s="81" t="s">
        <v>82</v>
      </c>
      <c r="D7" s="82">
        <v>247615.01699999537</v>
      </c>
      <c r="F7" s="94">
        <v>480180</v>
      </c>
      <c r="G7" s="91">
        <f>+VLOOKUP(F7,'[2]Tracciato di rilevazione_2022'!$B$3:$AT$9,45,0)</f>
        <v>15</v>
      </c>
      <c r="H7" s="5">
        <f>+VLOOKUP(F7,AD_NA1_2022!$A$6:$U$12,21,0)</f>
        <v>405130.41044001526</v>
      </c>
      <c r="I7" s="25">
        <v>2</v>
      </c>
      <c r="J7" s="81">
        <v>380701</v>
      </c>
      <c r="K7" s="1">
        <f>+H7-J7</f>
        <v>24429.410440015257</v>
      </c>
      <c r="M7" s="67">
        <f t="shared" si="0"/>
        <v>11421.029999999999</v>
      </c>
      <c r="O7" s="95">
        <v>470137</v>
      </c>
      <c r="P7" s="81"/>
      <c r="Q7" s="5">
        <v>219309.436999998</v>
      </c>
      <c r="R7" s="25">
        <v>2</v>
      </c>
      <c r="S7" s="1">
        <f>+Q7</f>
        <v>219309.436999998</v>
      </c>
      <c r="V7" s="24">
        <f t="shared" si="1"/>
        <v>6579.2831099999394</v>
      </c>
      <c r="X7" s="80">
        <v>450066</v>
      </c>
      <c r="Y7" s="31">
        <f t="shared" si="2"/>
        <v>0</v>
      </c>
      <c r="Z7" s="31">
        <f t="shared" si="3"/>
        <v>7428.4505099998605</v>
      </c>
      <c r="AA7" s="31"/>
      <c r="AB7" s="7">
        <f>+AD_NA1_2022!T7</f>
        <v>-3733.7403399999075</v>
      </c>
      <c r="AC7" s="7">
        <f>+AD_NA1_2023!T7</f>
        <v>0</v>
      </c>
      <c r="AE7" s="45">
        <f t="shared" ref="AE7:AE12" si="5">Y7+Z7+AB7+AC7</f>
        <v>3694.710169999953</v>
      </c>
      <c r="AI7" s="46">
        <f t="shared" si="4"/>
        <v>1.4921187796942147E-2</v>
      </c>
    </row>
    <row r="8" spans="1:35" x14ac:dyDescent="0.25">
      <c r="A8" s="80">
        <v>470137</v>
      </c>
      <c r="B8" s="81" t="s">
        <v>83</v>
      </c>
      <c r="D8" s="82">
        <v>215082.316999998</v>
      </c>
      <c r="F8" s="94">
        <v>450066</v>
      </c>
      <c r="G8" s="91">
        <f>+VLOOKUP(F8,'[2]Tracciato di rilevazione_2022'!$B$3:$AT$9,45,0)</f>
        <v>13</v>
      </c>
      <c r="H8" s="5">
        <f>+VLOOKUP(F8,AD_NA1_2022!$A$6:$U$12,21,0)</f>
        <v>243881.27665999546</v>
      </c>
      <c r="I8" s="25">
        <v>3</v>
      </c>
      <c r="J8" s="81"/>
      <c r="K8" s="1">
        <f>+H8</f>
        <v>243881.27665999546</v>
      </c>
      <c r="M8" s="67">
        <f t="shared" si="0"/>
        <v>0</v>
      </c>
      <c r="O8" s="95">
        <v>480180</v>
      </c>
      <c r="P8" s="81"/>
      <c r="Q8" s="5">
        <v>405130.41044001526</v>
      </c>
      <c r="R8" s="25">
        <v>3</v>
      </c>
      <c r="S8" s="81">
        <v>133161</v>
      </c>
      <c r="T8" s="1">
        <f>+Q8-S8</f>
        <v>271969.41044001526</v>
      </c>
      <c r="V8" s="24">
        <f t="shared" si="1"/>
        <v>3994.83</v>
      </c>
      <c r="X8" s="80">
        <v>470137</v>
      </c>
      <c r="Y8" s="31">
        <f t="shared" si="2"/>
        <v>6581.5189001999379</v>
      </c>
      <c r="Z8" s="31">
        <f t="shared" si="3"/>
        <v>6579.2831099999394</v>
      </c>
      <c r="AA8" s="31"/>
      <c r="AB8" s="7">
        <f>+AD_NA1_2022!T8</f>
        <v>4301.6463399999602</v>
      </c>
      <c r="AC8" s="7">
        <f>+AD_NA1_2023!T8</f>
        <v>4227.12</v>
      </c>
      <c r="AE8" s="45">
        <f t="shared" si="5"/>
        <v>21689.568350199836</v>
      </c>
      <c r="AI8" s="46">
        <f t="shared" si="4"/>
        <v>0.10084310348116642</v>
      </c>
    </row>
    <row r="9" spans="1:35" s="81" customFormat="1" x14ac:dyDescent="0.25">
      <c r="A9" s="80">
        <v>480180</v>
      </c>
      <c r="B9" s="81" t="s">
        <v>84</v>
      </c>
      <c r="D9" s="82">
        <v>413398.37800001557</v>
      </c>
      <c r="F9" s="94">
        <v>520355</v>
      </c>
      <c r="G9" s="91">
        <f>+VLOOKUP(F9,'[2]Tracciato di rilevazione_2022'!$B$3:$AT$9,45,0)</f>
        <v>13</v>
      </c>
      <c r="H9" s="5">
        <f>+VLOOKUP(F9,AD_NA1_2022!$A$6:$U$12,21,0)</f>
        <v>252589.09899999254</v>
      </c>
      <c r="I9" s="25">
        <v>4</v>
      </c>
      <c r="K9" s="81">
        <f>+H9</f>
        <v>252589.09899999254</v>
      </c>
      <c r="M9" s="67">
        <f t="shared" si="0"/>
        <v>0</v>
      </c>
      <c r="O9" s="95">
        <v>520355</v>
      </c>
      <c r="Q9" s="5">
        <v>256600.03217999238</v>
      </c>
      <c r="R9" s="25">
        <v>4</v>
      </c>
      <c r="T9" s="81">
        <f>+Q9</f>
        <v>256600.03217999238</v>
      </c>
      <c r="V9" s="24">
        <f t="shared" si="1"/>
        <v>0</v>
      </c>
      <c r="X9" s="80">
        <v>480180</v>
      </c>
      <c r="Y9" s="31">
        <f t="shared" si="2"/>
        <v>11421.029999999999</v>
      </c>
      <c r="Z9" s="31">
        <f t="shared" si="3"/>
        <v>3994.83</v>
      </c>
      <c r="AA9" s="31"/>
      <c r="AB9" s="7">
        <f>+AD_NA1_2022!T9</f>
        <v>-8267.967560000312</v>
      </c>
      <c r="AC9" s="7">
        <f>+AD_NA1_2023!T9</f>
        <v>-8267.967560000312</v>
      </c>
      <c r="AE9" s="45">
        <f t="shared" si="5"/>
        <v>-1120.0751200006252</v>
      </c>
      <c r="AI9" s="46">
        <f t="shared" si="4"/>
        <v>-2.7094327883419589E-3</v>
      </c>
    </row>
    <row r="10" spans="1:35" s="81" customFormat="1" x14ac:dyDescent="0.25">
      <c r="A10" s="80">
        <v>520355</v>
      </c>
      <c r="B10" s="81" t="s">
        <v>92</v>
      </c>
      <c r="D10" s="82">
        <v>251568.65899999253</v>
      </c>
      <c r="F10" s="94">
        <v>530334</v>
      </c>
      <c r="G10" s="91">
        <f>+VLOOKUP(F10,'[2]Tracciato di rilevazione_2022'!$B$3:$AT$9,45,0)</f>
        <v>10</v>
      </c>
      <c r="H10" s="5">
        <f>+VLOOKUP(F10,AD_NA1_2022!$A$6:$U$12,21,0)</f>
        <v>139904.22</v>
      </c>
      <c r="I10" s="25">
        <v>5</v>
      </c>
      <c r="K10" s="81">
        <v>79186</v>
      </c>
      <c r="L10" s="81">
        <f>+H10-K10</f>
        <v>60718.22</v>
      </c>
      <c r="M10" s="67">
        <f t="shared" si="0"/>
        <v>-1821.5465999999999</v>
      </c>
      <c r="O10" s="95">
        <v>530378</v>
      </c>
      <c r="Q10" s="5">
        <v>196820</v>
      </c>
      <c r="R10" s="25">
        <v>5</v>
      </c>
      <c r="T10" s="81">
        <v>71516</v>
      </c>
      <c r="U10" s="81">
        <f>+Q10-T10</f>
        <v>125304</v>
      </c>
      <c r="V10" s="24">
        <f t="shared" si="1"/>
        <v>-3759.12</v>
      </c>
      <c r="X10" s="80">
        <v>520355</v>
      </c>
      <c r="Y10" s="31">
        <f t="shared" si="2"/>
        <v>0</v>
      </c>
      <c r="Z10" s="31">
        <f t="shared" si="3"/>
        <v>0</v>
      </c>
      <c r="AA10" s="31"/>
      <c r="AB10" s="7">
        <f>+AD_NA1_2022!T10</f>
        <v>1020.44</v>
      </c>
      <c r="AC10" s="7">
        <f>+AD_NA1_2023!T10</f>
        <v>5031.3731799998504</v>
      </c>
      <c r="AE10" s="45">
        <f t="shared" si="5"/>
        <v>6051.81317999985</v>
      </c>
      <c r="AI10" s="46">
        <f t="shared" si="4"/>
        <v>2.4056308142899586E-2</v>
      </c>
    </row>
    <row r="11" spans="1:35" s="81" customFormat="1" x14ac:dyDescent="0.25">
      <c r="A11" s="80">
        <v>530334</v>
      </c>
      <c r="B11" s="81" t="s">
        <v>85</v>
      </c>
      <c r="D11" s="82">
        <v>137161</v>
      </c>
      <c r="F11" s="94">
        <v>530378</v>
      </c>
      <c r="G11" s="91">
        <f>+VLOOKUP(F11,'[2]Tracciato di rilevazione_2022'!$B$3:$AT$9,45,0)</f>
        <v>9</v>
      </c>
      <c r="H11" s="5">
        <f>+VLOOKUP(F11,AD_NA1_2022!$A$6:$U$12,21,0)</f>
        <v>200756.4</v>
      </c>
      <c r="I11" s="25">
        <v>6</v>
      </c>
      <c r="L11" s="81">
        <f>+H11</f>
        <v>200756.4</v>
      </c>
      <c r="M11" s="67">
        <f t="shared" si="0"/>
        <v>-6022.692</v>
      </c>
      <c r="O11" s="95">
        <v>440007</v>
      </c>
      <c r="Q11" s="5">
        <v>334877.26</v>
      </c>
      <c r="R11" s="25">
        <v>6</v>
      </c>
      <c r="U11" s="81">
        <f t="shared" ref="U11:U12" si="6">+Q11-T11</f>
        <v>334877.26</v>
      </c>
      <c r="V11" s="24">
        <f t="shared" si="1"/>
        <v>-10046.317800000001</v>
      </c>
      <c r="X11" s="80">
        <v>530334</v>
      </c>
      <c r="Y11" s="31">
        <f t="shared" si="2"/>
        <v>-1821.5465999999999</v>
      </c>
      <c r="Z11" s="31">
        <f t="shared" si="3"/>
        <v>-4197.1265999999996</v>
      </c>
      <c r="AA11" s="31"/>
      <c r="AB11" s="7">
        <f>+AD_NA1_2022!T11</f>
        <v>2743.2200000000003</v>
      </c>
      <c r="AC11" s="7">
        <f>+AD_NA1_2023!T11</f>
        <v>2743.2200000000003</v>
      </c>
      <c r="AE11" s="45">
        <f t="shared" si="5"/>
        <v>-532.23319999999876</v>
      </c>
      <c r="AI11" s="46">
        <f t="shared" si="4"/>
        <v>-3.8803537448691594E-3</v>
      </c>
    </row>
    <row r="12" spans="1:35" s="81" customFormat="1" x14ac:dyDescent="0.25">
      <c r="A12" s="80">
        <v>530378</v>
      </c>
      <c r="B12" s="81" t="s">
        <v>86</v>
      </c>
      <c r="D12" s="82">
        <v>196820</v>
      </c>
      <c r="F12" s="94">
        <v>440007</v>
      </c>
      <c r="G12" s="91">
        <f>+VLOOKUP(F12,'[2]Tracciato di rilevazione_2022'!$B$3:$AT$9,45,0)</f>
        <v>4</v>
      </c>
      <c r="H12" s="5">
        <f>+VLOOKUP(F12,AD_NA1_2022!$A$6:$U$12,21,0)</f>
        <v>338611</v>
      </c>
      <c r="I12" s="25">
        <v>7</v>
      </c>
      <c r="L12" s="81">
        <f>+H12</f>
        <v>338611</v>
      </c>
      <c r="M12" s="67">
        <f t="shared" si="0"/>
        <v>-10158.33</v>
      </c>
      <c r="O12" s="95">
        <v>530334</v>
      </c>
      <c r="Q12" s="5">
        <v>139904.22</v>
      </c>
      <c r="R12" s="25">
        <v>7</v>
      </c>
      <c r="U12" s="81">
        <f t="shared" si="6"/>
        <v>139904.22</v>
      </c>
      <c r="V12" s="24">
        <f t="shared" si="1"/>
        <v>-4197.1265999999996</v>
      </c>
      <c r="X12" s="80">
        <v>530378</v>
      </c>
      <c r="Y12" s="31">
        <f t="shared" si="2"/>
        <v>-6022.692</v>
      </c>
      <c r="Z12" s="31">
        <f t="shared" si="3"/>
        <v>-3759.12</v>
      </c>
      <c r="AA12" s="31"/>
      <c r="AB12" s="7">
        <f>+AD_NA1_2022!T12</f>
        <v>3936.4</v>
      </c>
      <c r="AC12" s="7">
        <f>+AD_NA1_2023!T12</f>
        <v>0</v>
      </c>
      <c r="AE12" s="45">
        <f t="shared" si="5"/>
        <v>-5845.4120000000003</v>
      </c>
      <c r="AI12" s="46">
        <f t="shared" si="4"/>
        <v>-2.9699278528604819E-2</v>
      </c>
    </row>
    <row r="13" spans="1:35" ht="14.45" customHeight="1" x14ac:dyDescent="0.25">
      <c r="B13" s="21" t="s">
        <v>5</v>
      </c>
      <c r="D13" s="4">
        <f>SUM(D6:D12)</f>
        <v>1800256.3710000014</v>
      </c>
      <c r="F13" s="18"/>
      <c r="G13" s="18"/>
      <c r="H13" s="18">
        <f>SUM(H6:H12)</f>
        <v>1800256.369440001</v>
      </c>
      <c r="I13" s="18"/>
      <c r="J13" s="18">
        <f>SUM(J6:J8)</f>
        <v>600084.96333999792</v>
      </c>
      <c r="K13" s="18">
        <f>SUM(K6:K12)</f>
        <v>600085.78610000317</v>
      </c>
      <c r="L13" s="18">
        <f>SUM(L6:L12)</f>
        <v>600085.62</v>
      </c>
      <c r="M13" s="18">
        <f>SUM(M6:M12)</f>
        <v>-1.9699800062880968E-2</v>
      </c>
      <c r="O13" s="18"/>
      <c r="P13" s="18"/>
      <c r="Q13" s="18">
        <f>SUM(Q6:Q12)</f>
        <v>1800256.3766200009</v>
      </c>
      <c r="R13" s="18"/>
      <c r="S13" s="18">
        <f>SUM(S6:S12)</f>
        <v>600085.45399999339</v>
      </c>
      <c r="T13" s="18">
        <f>SUM(T6:T12)</f>
        <v>600085.44262000767</v>
      </c>
      <c r="U13" s="18">
        <f>SUM(U6:U12)</f>
        <v>600085.48</v>
      </c>
      <c r="V13" s="18">
        <f>SUM(V6:V12)</f>
        <v>-7.8000020221224986E-4</v>
      </c>
      <c r="X13" s="4"/>
      <c r="Y13" s="4">
        <f>SUM(Y6:Y12)</f>
        <v>-1.9699800062880968E-2</v>
      </c>
      <c r="Z13" s="4">
        <f>SUM(Z6:Z12)</f>
        <v>-7.8000020039326046E-4</v>
      </c>
      <c r="AA13" s="31"/>
      <c r="AB13" s="4">
        <f t="shared" ref="AB13:AC13" si="7">SUM(AB6:AB12)</f>
        <v>-1.5600002593600948E-3</v>
      </c>
      <c r="AC13" s="4">
        <f t="shared" si="7"/>
        <v>5.6199995378847234E-3</v>
      </c>
      <c r="AE13" s="45">
        <f>SUM(AE6:AE12)</f>
        <v>-1.6419800987932831E-2</v>
      </c>
      <c r="AI13" s="44">
        <f t="shared" si="4"/>
        <v>-9.1208125978257219E-9</v>
      </c>
    </row>
    <row r="14" spans="1:35" ht="16.899999999999999" customHeight="1" x14ac:dyDescent="0.25">
      <c r="F14" s="15" t="s">
        <v>4</v>
      </c>
      <c r="G14" s="15"/>
      <c r="H14" s="14">
        <f>H13/3</f>
        <v>600085.45648000028</v>
      </c>
      <c r="I14" s="13"/>
      <c r="J14" s="12">
        <f>$H14-J13</f>
        <v>0.49314000236336142</v>
      </c>
      <c r="K14" s="12">
        <f>$H14-K13</f>
        <v>-0.32962000288534909</v>
      </c>
      <c r="L14" s="12">
        <f>$H14-L13</f>
        <v>-0.16351999971084297</v>
      </c>
      <c r="O14" s="15" t="s">
        <v>4</v>
      </c>
      <c r="P14" s="15"/>
      <c r="Q14" s="14">
        <f>Q13/3</f>
        <v>600085.45887333364</v>
      </c>
      <c r="R14" s="13"/>
      <c r="S14" s="12">
        <f>$Q14-S13</f>
        <v>4.8733402509242296E-3</v>
      </c>
      <c r="T14" s="12">
        <f>$Q14-T13</f>
        <v>1.6253325971774757E-2</v>
      </c>
      <c r="U14" s="12">
        <f>$Q14-U13</f>
        <v>-2.1126666339114308E-2</v>
      </c>
    </row>
    <row r="15" spans="1:35" ht="16.899999999999999" customHeight="1" x14ac:dyDescent="0.25"/>
    <row r="16" spans="1:35" ht="16.899999999999999" customHeight="1" x14ac:dyDescent="0.25"/>
    <row r="17" spans="1:35" ht="16.899999999999999" customHeight="1" x14ac:dyDescent="0.25">
      <c r="A17" s="80"/>
      <c r="B17" s="82"/>
      <c r="N17" s="81">
        <v>2266590.7465085108</v>
      </c>
    </row>
    <row r="18" spans="1:35" ht="16.899999999999999" customHeight="1" x14ac:dyDescent="0.25">
      <c r="A18" s="80"/>
      <c r="B18" s="82"/>
    </row>
    <row r="19" spans="1:35" ht="16.899999999999999" customHeight="1" x14ac:dyDescent="0.25">
      <c r="A19" s="80"/>
      <c r="B19" s="82"/>
      <c r="F19" s="142" t="s">
        <v>3</v>
      </c>
      <c r="G19" s="143"/>
      <c r="H19" s="143"/>
      <c r="I19" s="144"/>
      <c r="O19" s="142" t="s">
        <v>3</v>
      </c>
      <c r="P19" s="143"/>
      <c r="Q19" s="143"/>
      <c r="R19" s="144"/>
    </row>
    <row r="20" spans="1:35" ht="30" x14ac:dyDescent="0.25">
      <c r="A20" s="80"/>
      <c r="B20" s="82"/>
      <c r="F20" s="68" t="s">
        <v>2</v>
      </c>
      <c r="G20" s="69" t="s">
        <v>35</v>
      </c>
      <c r="H20" s="70" t="s">
        <v>53</v>
      </c>
      <c r="I20" s="68" t="s">
        <v>0</v>
      </c>
      <c r="O20" s="68" t="s">
        <v>2</v>
      </c>
      <c r="P20" s="69" t="s">
        <v>35</v>
      </c>
      <c r="Q20" s="70" t="s">
        <v>54</v>
      </c>
      <c r="R20" s="68" t="s">
        <v>0</v>
      </c>
    </row>
    <row r="21" spans="1:35" x14ac:dyDescent="0.25">
      <c r="A21" s="80"/>
      <c r="B21" s="82"/>
      <c r="F21" s="94">
        <v>470137</v>
      </c>
      <c r="G21" s="91">
        <f>+VLOOKUP(F21,'[2]Tracciato di rilevazione_2022'!$B$3:$AT$9,45,0)</f>
        <v>18</v>
      </c>
      <c r="H21" s="5">
        <f>+VLOOKUP(F21,AD_NA1_2022!$A$6:$U$12,21,0)</f>
        <v>219383.96333999795</v>
      </c>
      <c r="I21" s="101">
        <v>1</v>
      </c>
      <c r="K21" s="1">
        <v>2473746</v>
      </c>
      <c r="O21" s="95">
        <v>450066</v>
      </c>
      <c r="P21" s="91">
        <f>+VLOOKUP(O21,'[2]Tracciato di rilevazione_2023'!$B$3:$AT$9,45,0)</f>
        <v>14</v>
      </c>
      <c r="Q21" s="5">
        <f>+VLOOKUP(O21,AD_NA1_2023!$A$6:$U$12,21,0)</f>
        <v>247615.01699999537</v>
      </c>
      <c r="R21" s="88">
        <v>1</v>
      </c>
      <c r="T21" s="1">
        <v>6438788.8273867508</v>
      </c>
      <c r="U21" s="12">
        <v>3032661.4467435079</v>
      </c>
      <c r="AC21" s="11"/>
    </row>
    <row r="22" spans="1:35" x14ac:dyDescent="0.25">
      <c r="A22" s="80"/>
      <c r="B22" s="82"/>
      <c r="F22" s="94">
        <v>480180</v>
      </c>
      <c r="G22" s="91">
        <f>+VLOOKUP(F22,'[2]Tracciato di rilevazione_2022'!$B$3:$AT$9,45,0)</f>
        <v>15</v>
      </c>
      <c r="H22" s="5">
        <f>+VLOOKUP(F22,AD_NA1_2022!$A$6:$U$12,21,0)</f>
        <v>405130.41044001526</v>
      </c>
      <c r="I22" s="101">
        <v>2</v>
      </c>
      <c r="K22" s="1">
        <f>+H10+H11</f>
        <v>340660.62</v>
      </c>
      <c r="O22" s="95">
        <v>470137</v>
      </c>
      <c r="P22" s="91">
        <f>+VLOOKUP(O22,'[2]Tracciato di rilevazione_2023'!$B$3:$AT$9,45,0)</f>
        <v>14</v>
      </c>
      <c r="Q22" s="5">
        <f>+VLOOKUP(O22,AD_NA1_2023!$A$6:$U$12,21,0)</f>
        <v>219309.436999998</v>
      </c>
      <c r="R22" s="88">
        <v>2</v>
      </c>
      <c r="S22" s="81"/>
      <c r="T22" s="81">
        <f>+Q7+Q8</f>
        <v>624439.8474400132</v>
      </c>
      <c r="U22" s="1">
        <f>SUM(Q9:Q12)</f>
        <v>928201.51217999239</v>
      </c>
    </row>
    <row r="23" spans="1:35" x14ac:dyDescent="0.25">
      <c r="A23" s="80"/>
      <c r="B23" s="82"/>
      <c r="F23" s="94">
        <v>450066</v>
      </c>
      <c r="G23" s="91">
        <f>+VLOOKUP(F23,'[2]Tracciato di rilevazione_2022'!$B$3:$AT$9,45,0)</f>
        <v>13</v>
      </c>
      <c r="H23" s="5">
        <f>+VLOOKUP(F23,AD_NA1_2022!$A$6:$U$12,21,0)</f>
        <v>243881.27665999546</v>
      </c>
      <c r="I23" s="101">
        <v>3</v>
      </c>
      <c r="K23" s="92">
        <f>+K21/K22</f>
        <v>7.261614212995914</v>
      </c>
      <c r="O23" s="95">
        <v>480180</v>
      </c>
      <c r="P23" s="91">
        <f>+VLOOKUP(O23,'[2]Tracciato di rilevazione_2023'!$B$3:$AT$9,45,0)</f>
        <v>13</v>
      </c>
      <c r="Q23" s="5">
        <f>+VLOOKUP(O23,AD_NA1_2023!$A$6:$U$12,21,0)</f>
        <v>405130.41044001526</v>
      </c>
      <c r="R23" s="88">
        <v>3</v>
      </c>
      <c r="S23" s="81"/>
      <c r="T23" s="90">
        <f>+T21/T22</f>
        <v>10.311303568764153</v>
      </c>
      <c r="U23" s="92">
        <f>+U21/U22</f>
        <v>3.2672446736495173</v>
      </c>
    </row>
    <row r="24" spans="1:35" x14ac:dyDescent="0.25">
      <c r="A24" s="80"/>
      <c r="B24" s="82"/>
      <c r="F24" s="94">
        <v>520355</v>
      </c>
      <c r="G24" s="91">
        <f>+VLOOKUP(F24,'[2]Tracciato di rilevazione_2022'!$B$3:$AT$9,45,0)</f>
        <v>13</v>
      </c>
      <c r="H24" s="5">
        <f>+VLOOKUP(F24,AD_NA1_2022!$A$6:$U$12,21,0)</f>
        <v>252589.09899999254</v>
      </c>
      <c r="I24" s="101">
        <v>4</v>
      </c>
      <c r="O24" s="95">
        <v>520355</v>
      </c>
      <c r="P24" s="91">
        <f>+VLOOKUP(O24,'[2]Tracciato di rilevazione_2023'!$B$3:$AT$9,45,0)</f>
        <v>12</v>
      </c>
      <c r="Q24" s="5">
        <f>+VLOOKUP(O24,AD_NA1_2023!$A$6:$U$12,21,0)</f>
        <v>256600.03217999238</v>
      </c>
      <c r="R24" s="88">
        <v>4</v>
      </c>
      <c r="S24" s="81"/>
    </row>
    <row r="25" spans="1:35" x14ac:dyDescent="0.25">
      <c r="F25" s="94">
        <v>530334</v>
      </c>
      <c r="G25" s="91">
        <f>+VLOOKUP(F25,'[2]Tracciato di rilevazione_2022'!$B$3:$AT$9,45,0)</f>
        <v>10</v>
      </c>
      <c r="H25" s="5">
        <f>+VLOOKUP(F25,AD_NA1_2022!$A$6:$U$12,21,0)</f>
        <v>139904.22</v>
      </c>
      <c r="I25" s="101">
        <v>5</v>
      </c>
      <c r="O25" s="95">
        <v>530378</v>
      </c>
      <c r="P25" s="91">
        <f>+VLOOKUP(O25,'[2]Tracciato di rilevazione_2023'!$B$3:$AT$9,45,0)</f>
        <v>10</v>
      </c>
      <c r="Q25" s="5">
        <f>+VLOOKUP(O25,AD_NA1_2023!$A$6:$U$12,21,0)</f>
        <v>196820</v>
      </c>
      <c r="R25" s="88">
        <v>5</v>
      </c>
      <c r="S25" s="81"/>
    </row>
    <row r="26" spans="1:35" x14ac:dyDescent="0.25">
      <c r="B26" s="2" t="s">
        <v>77</v>
      </c>
      <c r="D26" s="77"/>
      <c r="F26" s="94">
        <v>530378</v>
      </c>
      <c r="G26" s="91">
        <f>+VLOOKUP(F26,'[2]Tracciato di rilevazione_2022'!$B$3:$AT$9,45,0)</f>
        <v>9</v>
      </c>
      <c r="H26" s="5">
        <f>+VLOOKUP(F26,AD_NA1_2022!$A$6:$U$12,21,0)</f>
        <v>200756.4</v>
      </c>
      <c r="I26" s="101">
        <v>6</v>
      </c>
      <c r="O26" s="95">
        <v>440007</v>
      </c>
      <c r="P26" s="91">
        <f>+VLOOKUP(O26,'[2]Tracciato di rilevazione_2023'!$B$3:$AT$9,45,0)</f>
        <v>9</v>
      </c>
      <c r="Q26" s="5">
        <f>+VLOOKUP(O26,AD_NA1_2023!$A$6:$U$12,21,0)</f>
        <v>334877.26</v>
      </c>
      <c r="R26" s="88">
        <v>6</v>
      </c>
      <c r="S26" s="81"/>
      <c r="AE26" s="77"/>
      <c r="AI26" s="78"/>
    </row>
    <row r="27" spans="1:35" x14ac:dyDescent="0.25">
      <c r="B27" s="2" t="s">
        <v>78</v>
      </c>
      <c r="D27" s="77"/>
      <c r="F27" s="94">
        <v>440007</v>
      </c>
      <c r="G27" s="91">
        <f>+VLOOKUP(F27,'[2]Tracciato di rilevazione_2022'!$B$3:$AT$9,45,0)</f>
        <v>4</v>
      </c>
      <c r="H27" s="5">
        <f>+VLOOKUP(F27,AD_NA1_2022!$A$6:$U$12,21,0)</f>
        <v>338611</v>
      </c>
      <c r="I27" s="101">
        <v>7</v>
      </c>
      <c r="O27" s="95">
        <v>530334</v>
      </c>
      <c r="P27" s="91">
        <f>+VLOOKUP(O27,'[2]Tracciato di rilevazione_2023'!$B$3:$AT$9,45,0)</f>
        <v>4</v>
      </c>
      <c r="Q27" s="5">
        <f>+VLOOKUP(O27,AD_NA1_2023!$A$6:$U$12,21,0)</f>
        <v>139904.22</v>
      </c>
      <c r="R27" s="88">
        <v>7</v>
      </c>
      <c r="S27" s="81"/>
      <c r="AE27" s="77"/>
      <c r="AI27" s="78"/>
    </row>
    <row r="28" spans="1:35" x14ac:dyDescent="0.25">
      <c r="B28" s="2" t="s">
        <v>79</v>
      </c>
      <c r="D28" s="97"/>
      <c r="E28" s="98"/>
      <c r="F28" s="96"/>
      <c r="G28" s="91"/>
      <c r="H28" s="5">
        <f>SUM(H21:H27)</f>
        <v>1800256.369440001</v>
      </c>
      <c r="I28" s="81"/>
      <c r="O28" s="100"/>
      <c r="P28" s="91"/>
      <c r="Q28" s="5">
        <f>SUM(Q21:Q27)</f>
        <v>1800256.3766200009</v>
      </c>
      <c r="R28" s="81"/>
      <c r="AE28" s="77"/>
      <c r="AI28" s="78"/>
    </row>
    <row r="29" spans="1:35" x14ac:dyDescent="0.25">
      <c r="D29" s="98"/>
      <c r="E29" s="98"/>
      <c r="F29" s="98"/>
      <c r="AE29" s="16"/>
      <c r="AI29" s="78"/>
    </row>
    <row r="30" spans="1:35" x14ac:dyDescent="0.25">
      <c r="D30" s="99"/>
      <c r="E30" s="98"/>
      <c r="F30" s="98"/>
      <c r="AE30" s="79"/>
    </row>
  </sheetData>
  <sheetProtection algorithmName="SHA-512" hashValue="wVX5gsqcWW8oWCckJ12F/bkAE8AjaA4XjAUy1Mg31yAyOcWjI8tSFJJne9OVFGhm2evruotweQI/uyYfGLX6IA==" saltValue="sVLgiqja6ruw4Xby5T/BJg==" spinCount="100000" sheet="1" objects="1" scenarios="1"/>
  <autoFilter ref="AI3:AI13"/>
  <sortState ref="O21:R27">
    <sortCondition descending="1" ref="P21"/>
  </sortState>
  <mergeCells count="25">
    <mergeCell ref="AI3:AI5"/>
    <mergeCell ref="F4:F5"/>
    <mergeCell ref="H4:H5"/>
    <mergeCell ref="I4:I5"/>
    <mergeCell ref="J4:L4"/>
    <mergeCell ref="S3:U3"/>
    <mergeCell ref="O3:R3"/>
    <mergeCell ref="F3:I3"/>
    <mergeCell ref="J3:L3"/>
    <mergeCell ref="V3:V5"/>
    <mergeCell ref="Y3:Z4"/>
    <mergeCell ref="X3:X5"/>
    <mergeCell ref="AC3:AC5"/>
    <mergeCell ref="O4:O5"/>
    <mergeCell ref="S4:U4"/>
    <mergeCell ref="D3:D5"/>
    <mergeCell ref="M3:M5"/>
    <mergeCell ref="P4:P5"/>
    <mergeCell ref="G4:G5"/>
    <mergeCell ref="AE3:AE5"/>
    <mergeCell ref="F19:I19"/>
    <mergeCell ref="O19:R19"/>
    <mergeCell ref="Q4:Q5"/>
    <mergeCell ref="R4:R5"/>
    <mergeCell ref="AB3:AB5"/>
  </mergeCells>
  <printOptions horizontalCentered="1"/>
  <pageMargins left="0.9055118110236221" right="0.9055118110236221" top="1.3385826771653544" bottom="0.74803149606299213" header="0.82677165354330717" footer="0.51181102362204722"/>
  <pageSetup paperSize="9" scale="73" fitToWidth="2" orientation="landscape" r:id="rId1"/>
  <headerFooter>
    <oddHeader xml:space="preserve">&amp;C&amp;"-,Grassetto"&amp;18INDICAZIONI OPERATIVE: Allegato MN_03
MED. NUCLEARE: punteggio negli INDICATORI di PERFORMANCE e TOTALE variazioni da applicare sul TETTO 2024&amp;R: </oddHeader>
    <oddFooter>&amp;C&amp;14pag. n. &amp;P di &amp;N</oddFooter>
  </headerFooter>
  <colBreaks count="1" manualBreakCount="1">
    <brk id="18" min="1" max="4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4</vt:i4>
      </vt:variant>
    </vt:vector>
  </HeadingPairs>
  <TitlesOfParts>
    <vt:vector size="7" baseType="lpstr">
      <vt:lpstr>AD_NA1_2022</vt:lpstr>
      <vt:lpstr>AD_NA1_2023</vt:lpstr>
      <vt:lpstr>AD_NA1_RIEP_x_2024</vt:lpstr>
      <vt:lpstr>AD_NA1_2022!Area_stampa</vt:lpstr>
      <vt:lpstr>AD_NA1_2023!Area_stampa</vt:lpstr>
      <vt:lpstr>AD_NA1_RIEP_x_2024!Area_stampa</vt:lpstr>
      <vt:lpstr>AD_NA1_RIEP_x_2024!Titoli_stampa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Marurizio Cartalemi</cp:lastModifiedBy>
  <cp:lastPrinted>2025-01-23T15:00:23Z</cp:lastPrinted>
  <dcterms:created xsi:type="dcterms:W3CDTF">2024-10-14T14:17:55Z</dcterms:created>
  <dcterms:modified xsi:type="dcterms:W3CDTF">2025-02-11T11:59:26Z</dcterms:modified>
</cp:coreProperties>
</file>